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CpUjm7Kdjb7i+/ZPcjHoCW058wFirdZfqiNIzAxSHNQkTfgrzNh/n5Tb/BBwzHb7731s6TLC+GlcckERD6jcWg==" workbookSaltValue="TzGxVQgkiEK3KFlQyioq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P13" i="17"/>
  <c r="BD17" i="8"/>
  <c r="BF17" i="8"/>
  <c r="AB19" i="19"/>
  <c r="ER19" i="8"/>
  <c r="EL19" i="8"/>
  <c r="AC11" i="11"/>
  <c r="EQ19" i="8"/>
  <c r="AP12" i="11"/>
  <c r="Y11" i="11"/>
  <c r="AT18" i="17"/>
  <c r="N10" i="11"/>
  <c r="N9" i="11"/>
  <c r="T10" i="21"/>
  <c r="F10" i="10"/>
  <c r="N11" i="11"/>
  <c r="ES19" i="8"/>
  <c r="S19" i="13"/>
  <c r="AG19" i="19"/>
  <c r="F9" i="11"/>
  <c r="CI19" i="8"/>
  <c r="AE19" i="8"/>
  <c r="EP19" i="8"/>
  <c r="ER19" i="13"/>
  <c r="AL13" i="16"/>
  <c r="V11" i="16"/>
  <c r="BF16" i="11"/>
  <c r="BL12" i="11"/>
  <c r="S13" i="16"/>
  <c r="H18" i="16"/>
  <c r="P13" i="16"/>
  <c r="AN13" i="20"/>
  <c r="F17" i="17"/>
  <c r="AQ17" i="17" s="1"/>
  <c r="B12" i="6"/>
  <c r="AC10" i="11"/>
  <c r="H13" i="12"/>
  <c r="AJ19" i="8"/>
  <c r="T13" i="12"/>
  <c r="BK11" i="11"/>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BF15" i="8"/>
  <c r="BD9" i="8"/>
  <c r="BA13" i="8"/>
  <c r="X12" i="17"/>
  <c r="AV18" i="17"/>
  <c r="J18" i="17"/>
  <c r="T13" i="16"/>
  <c r="AP13"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W18" i="21" l="1"/>
  <c r="BG16" i="8"/>
  <c r="E18" i="12"/>
  <c r="T19" i="8"/>
  <c r="C18" i="7"/>
  <c r="Z19" i="8"/>
  <c r="Z13" i="17"/>
  <c r="AL10" i="11"/>
  <c r="AO9" i="11"/>
  <c r="L12" i="14"/>
  <c r="B17" i="6"/>
  <c r="AO16" i="11"/>
  <c r="C17" i="6"/>
  <c r="M13" i="2"/>
  <c r="AL11" i="11"/>
  <c r="B9" i="6"/>
  <c r="E11" i="6"/>
  <c r="F9" i="2"/>
  <c r="D11" i="2"/>
  <c r="E9" i="6"/>
  <c r="K9" i="7"/>
  <c r="H15" i="7"/>
  <c r="H12" i="2"/>
  <c r="C10" i="6"/>
  <c r="L11" i="14"/>
  <c r="E18" i="2"/>
  <c r="F18" i="2" s="1"/>
  <c r="AO17" i="11"/>
  <c r="AL15" i="11"/>
  <c r="L16" i="14"/>
  <c r="M18" i="2"/>
  <c r="N18" i="2"/>
  <c r="N19" i="2" s="1"/>
  <c r="X12" i="21"/>
  <c r="AP16" i="20"/>
  <c r="BH11" i="16"/>
  <c r="BL9" i="11"/>
  <c r="P9" i="11" s="1"/>
  <c r="BH17" i="16"/>
  <c r="BG10" i="11"/>
  <c r="BM16" i="11"/>
  <c r="P17" i="17"/>
  <c r="P18" i="17" s="1"/>
  <c r="P19" i="17" s="1"/>
  <c r="BL17" i="11"/>
  <c r="BK12" i="11"/>
  <c r="BF10" i="11"/>
  <c r="BK9" i="11"/>
  <c r="BK13" i="11" s="1"/>
  <c r="R12" i="14"/>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V13" i="16" s="1"/>
  <c r="BU17" i="17"/>
  <c r="BU16" i="17"/>
  <c r="BV9" i="16"/>
  <c r="AZ16" i="11"/>
  <c r="AZ12" i="11"/>
  <c r="R10" i="14"/>
  <c r="T15" i="11"/>
  <c r="S15" i="16"/>
  <c r="S18" i="16" s="1"/>
  <c r="S19" i="16" s="1"/>
  <c r="P15" i="17"/>
  <c r="BF12" i="11"/>
  <c r="BL15" i="11"/>
  <c r="BL10" i="11"/>
  <c r="BH10" i="16"/>
  <c r="Q15" i="17"/>
  <c r="BM17" i="11"/>
  <c r="BF15" i="11"/>
  <c r="BH16" i="11"/>
  <c r="AQ12" i="21"/>
  <c r="BJ16" i="11"/>
  <c r="BL16" i="11"/>
  <c r="L10" i="2"/>
  <c r="L15" i="2"/>
  <c r="L16" i="2"/>
  <c r="V9" i="16"/>
  <c r="BH9" i="16"/>
  <c r="V15" i="11"/>
  <c r="BJ17" i="11"/>
  <c r="BH15" i="11"/>
  <c r="BH18" i="11" s="1"/>
  <c r="BH15" i="16"/>
  <c r="U9" i="17"/>
  <c r="U19" i="17" s="1"/>
  <c r="BH12" i="16"/>
  <c r="S17" i="17"/>
  <c r="BH11" i="11"/>
  <c r="BJ10" i="11"/>
  <c r="BI9" i="11"/>
  <c r="Q17" i="17"/>
  <c r="T16" i="11"/>
  <c r="X15" i="17"/>
  <c r="AA16" i="16"/>
  <c r="S11" i="17"/>
  <c r="U10" i="17"/>
  <c r="BV11" i="16"/>
  <c r="BV12" i="16"/>
  <c r="BV17" i="16"/>
  <c r="BV18" i="16" s="1"/>
  <c r="AZ15" i="11"/>
  <c r="AZ18" i="11" s="1"/>
  <c r="AZ9" i="11"/>
  <c r="AZ13" i="11" s="1"/>
  <c r="R17" i="20"/>
  <c r="R18" i="20" s="1"/>
  <c r="AP15" i="20"/>
  <c r="BJ15" i="11"/>
  <c r="V9" i="11"/>
  <c r="BM12" i="11"/>
  <c r="X9" i="17"/>
  <c r="X11" i="17"/>
  <c r="S17" i="16"/>
  <c r="BF17" i="11"/>
  <c r="Q17" i="20"/>
  <c r="Q18" i="20" s="1"/>
  <c r="X17" i="17"/>
  <c r="V12" i="21"/>
  <c r="BA18" i="13"/>
  <c r="BF15" i="13"/>
  <c r="BD12" i="8"/>
  <c r="H12" i="7" s="1"/>
  <c r="C11" i="6"/>
  <c r="I11" i="12" s="1"/>
  <c r="BF9" i="13"/>
  <c r="BE12" i="13"/>
  <c r="F16" i="17"/>
  <c r="F18" i="17" s="1"/>
  <c r="BG16" i="13"/>
  <c r="BD16" i="13"/>
  <c r="BE15" i="13"/>
  <c r="BG15" i="8"/>
  <c r="AZ18" i="13"/>
  <c r="AZ19" i="13" s="1"/>
  <c r="H15" i="2"/>
  <c r="E15" i="6"/>
  <c r="B16" i="6"/>
  <c r="D12" i="12"/>
  <c r="F12" i="11"/>
  <c r="AQ12" i="11" s="1"/>
  <c r="AY13" i="8"/>
  <c r="AY19" i="8" s="1"/>
  <c r="AO12" i="17"/>
  <c r="AO12" i="11"/>
  <c r="I11" i="7"/>
  <c r="AY13" i="13"/>
  <c r="BG13" i="13" s="1"/>
  <c r="BE9" i="13"/>
  <c r="BB13" i="13"/>
  <c r="BE13" i="13" s="1"/>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G19" i="7" l="1"/>
  <c r="B19" i="7"/>
  <c r="D19" i="5"/>
  <c r="Y13" i="11"/>
  <c r="P12" i="11"/>
  <c r="D19" i="12"/>
  <c r="I10" i="12"/>
  <c r="V13" i="21"/>
  <c r="V19" i="21" s="1"/>
  <c r="B18" i="6"/>
  <c r="H13" i="2"/>
  <c r="S18" i="14"/>
  <c r="BI18" i="11"/>
  <c r="BB19" i="13"/>
  <c r="Q19" i="20"/>
  <c r="BD18" i="13"/>
  <c r="X13" i="16"/>
  <c r="Q12" i="11"/>
  <c r="K15" i="12"/>
  <c r="AL18"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<sst xmlns="http://schemas.openxmlformats.org/spreadsheetml/2006/main" count="2102" uniqueCount="918">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</sst>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MeMIRnAl0zFpC8lS2Jc8ARof7TXvrj3ZGbcSWAOWGszoQ0NvWq50tvQ6VBjUg8IZ0mEaXcRjAekVfmnqJj/7Q==" saltValue="62pO7BupDRB/uQ6gQ9DM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20</v>
      </c>
      <c r="F10" s="225">
        <f>IF(ISNUMBER(Datos!K10),Datos!K10," - ")</f>
        <v>28</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-0.30769230769230771</v>
      </c>
      <c r="L10" s="1024">
        <f>IF(ISNUMBER(NºAsuntos!I10/NºAsuntos!G10),(NºAsuntos!I10/NºAsuntos!G10)*11," - ")</f>
        <v>7.0714285714285721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34.107142857142854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20</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378</v>
      </c>
      <c r="D16" s="224">
        <f>IF(ISNUMBER(IF(D_I="SI",Datos!I16,Datos!I16+Datos!AC16)),IF(D_I="SI",Datos!I16,Datos!I16+Datos!AC16)," - ")</f>
        <v>373</v>
      </c>
      <c r="E16" s="225">
        <f>IF(ISNUMBER(IF(D_I="SI",Datos!J16,Datos!J16+Datos!AD16)),IF(D_I="SI",Datos!J16,Datos!J16+Datos!AD16)," - ")</f>
        <v>589</v>
      </c>
      <c r="F16" s="225">
        <f>IF(ISNUMBER(IF(D_I="SI",Datos!K16,Datos!K16+Datos!AE16)),IF(D_I="SI",Datos!K16,Datos!K16+Datos!AE16)," - ")</f>
        <v>581</v>
      </c>
      <c r="G16" s="1033" t="str">
        <f>IF(Datos!E16&lt;&gt;"",Datos!E16,Datos!D16)</f>
        <v>04</v>
      </c>
      <c r="H16" s="226">
        <f>IF(ISNUMBER(IF(D_I="SI",Datos!L16,Datos!L16+Datos!AF16)),IF(D_I="SI",Datos!L16,Datos!L16+Datos!AF16)," - ")</f>
        <v>386</v>
      </c>
      <c r="I16" s="1043" t="str">
        <f>IF(ISNUMBER(Datos!AS16/Datos!BM16),Datos!AS16/Datos!BM16," - ")</f>
        <v xml:space="preserve"> - </v>
      </c>
      <c r="J16" s="1044">
        <f>IF(ISNUMBER(Datos!BY16/Datos!CN16),Datos!BY16/Datos!CN16," - ")</f>
        <v>0</v>
      </c>
      <c r="K16" s="229">
        <f t="shared" si="3"/>
        <v>2.1164021164021163E-2</v>
      </c>
      <c r="L16" s="1024">
        <f>IF(ISNUMBER(NºAsuntos!I16/NºAsuntos!G16),(NºAsuntos!I16/NºAsuntos!G16)*11," - ")</f>
        <v>7.3080895008605848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28</v>
      </c>
      <c r="F17" s="225">
        <f>IF(ISNUMBER(IF(D_I="SI",Datos!K17,Datos!K17+Datos!AE17)),IF(D_I="SI",Datos!K17,Datos!K17+Datos!AE17)," - ")</f>
        <v>34</v>
      </c>
      <c r="G17" s="1033" t="str">
        <f>IF(Datos!E17&lt;&gt;"",Datos!E17,Datos!D17)</f>
        <v>37</v>
      </c>
      <c r="H17" s="226">
        <f>IF(ISNUMBER(IF(D_I="SI",Datos!L17,Datos!L17+Datos!AF17)),IF(D_I="SI",Datos!L17,Datos!L17+Datos!AF17)," - ")</f>
        <v>18</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5.8235294117647056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402</v>
      </c>
      <c r="D18" s="1048">
        <f>SUBTOTAL(9,D15:D17)</f>
        <v>397</v>
      </c>
      <c r="E18" s="1049">
        <f>SUBTOTAL(9,E15:E17)</f>
        <v>617</v>
      </c>
      <c r="F18" s="1049">
        <f>SUBTOTAL(9,F15:F17)</f>
        <v>615</v>
      </c>
      <c r="G18" s="1051" t="str">
        <f ca="1">INDIRECT(CONCATENATE("G",ROW()-1))</f>
        <v>37</v>
      </c>
      <c r="H18" s="1052">
        <f ca="1">SUMIF(G$14:G17,G18,H$14:H17)</f>
        <v>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428</v>
      </c>
      <c r="D19" s="1070">
        <f>SUBTOTAL(9,D9:D18)</f>
        <v>423</v>
      </c>
      <c r="E19" s="1071">
        <f>SUBTOTAL(9,E9:E18)</f>
        <v>637</v>
      </c>
      <c r="F19" s="1071">
        <f>SUBTOTAL(9,F9:F18)</f>
        <v>643</v>
      </c>
      <c r="G19" s="1072"/>
      <c r="H19" s="1073">
        <f ca="1">SUMIF(B9:B18,"TOTAL",H9:H18)</f>
        <v>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HrR7xxb/qDtr9udhO0FQPukBnxssuG65dqi9/kROQGqgc57VZSxtmXa01tSxHcE5PcWBsDngvVyDjL8vzDoXQ==" saltValue="AebnwyAhcmfNtuFwPm6zP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KfSsGA/iU/g65/evKsvvz8c+i4PRPVcBTpl+smLYpktD5rvSUnd3SzB4lQh6iLVL/+/FtMsztng/Ggm4uqn1g==" saltValue="PNncnFtpTNcM2L8hD+KC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20</v>
      </c>
      <c r="K10" s="180">
        <v>28</v>
      </c>
      <c r="L10" s="180">
        <v>18</v>
      </c>
      <c r="M10" s="180">
        <v>18</v>
      </c>
      <c r="N10" s="180">
        <v>8</v>
      </c>
      <c r="O10" s="180">
        <v>2</v>
      </c>
      <c r="P10" s="180">
        <v>0</v>
      </c>
      <c r="Q10" s="180">
        <v>1</v>
      </c>
      <c r="R10" s="180">
        <v>22</v>
      </c>
      <c r="S10" s="180">
        <v>9</v>
      </c>
      <c r="T10" s="180">
        <v>41</v>
      </c>
      <c r="U10" s="180">
        <v>36</v>
      </c>
      <c r="V10" s="180">
        <v>14</v>
      </c>
      <c r="W10" s="180">
        <v>15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41</v>
      </c>
      <c r="BA10" s="129">
        <f t="shared" si="0"/>
        <v>36</v>
      </c>
      <c r="BB10" s="129">
        <f t="shared" si="0"/>
        <v>14</v>
      </c>
      <c r="BC10" s="125">
        <f t="shared" si="0"/>
        <v>15</v>
      </c>
      <c r="BD10" s="126">
        <f>IF(ISNUMBER(BA10/AZ10),BA10/AZ10," - ")</f>
        <v>0.87804878048780488</v>
      </c>
      <c r="BE10" s="127">
        <f>IF(ISNUMBER(BB10/BA10),BB10/BA10, " - ")</f>
        <v>0.3888888888888889</v>
      </c>
      <c r="BF10" s="127">
        <f>IF(ISNUMBER(BC10/BA10),BC10/BA10, " - ")</f>
        <v>0.41666666666666669</v>
      </c>
      <c r="BG10" s="195">
        <f>IF(ISNUMBER((AY10+AZ10)/BA10),(AY10+AZ10)/BA10," - ")</f>
        <v>1.3888888888888888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878</v>
      </c>
      <c r="J12" s="182">
        <v>293</v>
      </c>
      <c r="K12" s="182">
        <v>281</v>
      </c>
      <c r="L12" s="182">
        <v>890</v>
      </c>
      <c r="M12" s="182">
        <v>67</v>
      </c>
      <c r="N12" s="182">
        <v>144</v>
      </c>
      <c r="O12" s="180">
        <v>103</v>
      </c>
      <c r="P12" s="182">
        <v>65</v>
      </c>
      <c r="Q12" s="182">
        <v>104</v>
      </c>
      <c r="R12" s="182">
        <v>1161</v>
      </c>
      <c r="S12" s="182">
        <v>682</v>
      </c>
      <c r="T12" s="182">
        <v>899</v>
      </c>
      <c r="U12" s="182">
        <v>556</v>
      </c>
      <c r="V12" s="182">
        <v>1025</v>
      </c>
      <c r="W12" s="182">
        <v>88</v>
      </c>
      <c r="X12" s="188">
        <v>192</v>
      </c>
      <c r="Y12" s="190">
        <v>74</v>
      </c>
      <c r="Z12" s="180">
        <v>18</v>
      </c>
      <c r="AA12" s="180">
        <v>27</v>
      </c>
      <c r="AB12" s="180">
        <v>65</v>
      </c>
      <c r="AC12" s="182">
        <v>0</v>
      </c>
      <c r="AD12" s="182">
        <v>0</v>
      </c>
      <c r="AE12" s="182">
        <v>0</v>
      </c>
      <c r="AF12" s="188">
        <v>0</v>
      </c>
      <c r="AG12" s="201">
        <v>15</v>
      </c>
      <c r="AH12" s="182">
        <v>24</v>
      </c>
      <c r="AI12" s="182">
        <v>29</v>
      </c>
      <c r="AJ12" s="202">
        <v>10</v>
      </c>
      <c r="AK12" s="181">
        <v>0</v>
      </c>
      <c r="AL12" s="182">
        <v>0</v>
      </c>
      <c r="AM12" s="182">
        <v>0</v>
      </c>
      <c r="AN12" s="188">
        <v>0</v>
      </c>
      <c r="AO12" s="258">
        <v>2</v>
      </c>
      <c r="AP12" s="154">
        <v>2</v>
      </c>
      <c r="AQ12" s="154">
        <v>2</v>
      </c>
      <c r="AR12" s="153">
        <v>2</v>
      </c>
      <c r="AS12" s="339" t="s">
        <v>794</v>
      </c>
      <c r="AT12" s="202"/>
      <c r="AU12" s="201"/>
      <c r="AV12" s="202"/>
      <c r="AW12" s="201"/>
      <c r="AX12" s="202"/>
      <c r="AY12" s="126">
        <f t="shared" si="1"/>
        <v>697</v>
      </c>
      <c r="AZ12" s="127">
        <f t="shared" si="1"/>
        <v>923</v>
      </c>
      <c r="BA12" s="127">
        <f t="shared" si="1"/>
        <v>585</v>
      </c>
      <c r="BB12" s="127">
        <f t="shared" si="1"/>
        <v>1035</v>
      </c>
      <c r="BC12" s="125">
        <f>IF(ISNUMBER(X12),X12," - ")</f>
        <v>192</v>
      </c>
      <c r="BD12" s="126">
        <f t="shared" si="2"/>
        <v>0.63380281690140849</v>
      </c>
      <c r="BE12" s="127">
        <f t="shared" si="3"/>
        <v>1.7692307692307692</v>
      </c>
      <c r="BF12" s="127">
        <f t="shared" si="4"/>
        <v>0.3282051282051282</v>
      </c>
      <c r="BG12" s="195">
        <f t="shared" si="5"/>
        <v>2.7692307692307692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904</v>
      </c>
      <c r="J13" s="183">
        <f t="shared" si="6"/>
        <v>313</v>
      </c>
      <c r="K13" s="183">
        <f t="shared" si="6"/>
        <v>309</v>
      </c>
      <c r="L13" s="183">
        <f t="shared" si="6"/>
        <v>908</v>
      </c>
      <c r="M13" s="183">
        <f t="shared" si="6"/>
        <v>85</v>
      </c>
      <c r="N13" s="183">
        <f t="shared" si="6"/>
        <v>152</v>
      </c>
      <c r="O13" s="183">
        <f t="shared" si="6"/>
        <v>105</v>
      </c>
      <c r="P13" s="183">
        <f t="shared" si="6"/>
        <v>65</v>
      </c>
      <c r="Q13" s="183">
        <f t="shared" si="6"/>
        <v>105</v>
      </c>
      <c r="R13" s="183">
        <f t="shared" si="6"/>
        <v>1183</v>
      </c>
      <c r="S13" s="183">
        <f t="shared" si="6"/>
        <v>691</v>
      </c>
      <c r="T13" s="183">
        <f t="shared" si="6"/>
        <v>940</v>
      </c>
      <c r="U13" s="183">
        <f t="shared" si="6"/>
        <v>592</v>
      </c>
      <c r="V13" s="183">
        <f t="shared" si="6"/>
        <v>1039</v>
      </c>
      <c r="W13" s="183">
        <f t="shared" si="6"/>
        <v>103</v>
      </c>
      <c r="X13" s="183">
        <f t="shared" si="6"/>
        <v>192</v>
      </c>
      <c r="Y13" s="183">
        <f t="shared" si="6"/>
        <v>74</v>
      </c>
      <c r="Z13" s="183">
        <f t="shared" si="6"/>
        <v>18</v>
      </c>
      <c r="AA13" s="183">
        <f t="shared" si="6"/>
        <v>27</v>
      </c>
      <c r="AB13" s="183">
        <f t="shared" si="6"/>
        <v>65</v>
      </c>
      <c r="AC13" s="183">
        <f t="shared" si="6"/>
        <v>0</v>
      </c>
      <c r="AD13" s="183">
        <f t="shared" si="6"/>
        <v>0</v>
      </c>
      <c r="AE13" s="183">
        <f t="shared" si="6"/>
        <v>0</v>
      </c>
      <c r="AF13" s="183">
        <f>SUBTOTAL(9,AF9:AF12)</f>
        <v>0</v>
      </c>
      <c r="AG13" s="183">
        <f t="shared" ref="AG13:AT13" si="7">SUBTOTAL(9,AG8:AG12)</f>
        <v>15</v>
      </c>
      <c r="AH13" s="183">
        <f t="shared" si="7"/>
        <v>24</v>
      </c>
      <c r="AI13" s="183">
        <f t="shared" si="7"/>
        <v>29</v>
      </c>
      <c r="AJ13" s="183">
        <f t="shared" si="7"/>
        <v>10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706</v>
      </c>
      <c r="AZ13" s="183">
        <f>SUBTOTAL(9,AZ8:AZ12)</f>
        <v>964</v>
      </c>
      <c r="BA13" s="183">
        <f>SUBTOTAL(9,BA8:BA12)</f>
        <v>621</v>
      </c>
      <c r="BB13" s="183">
        <f>SUBTOTAL(9,BB8:BB12)</f>
        <v>1049</v>
      </c>
      <c r="BC13" s="183">
        <f>SUBTOTAL(9,BC8:BC12)</f>
        <v>207</v>
      </c>
      <c r="BD13" s="204">
        <f>IF(ISNUMBER(BA13/AZ13),BA13/AZ13," - ")</f>
        <v>0.64419087136929465</v>
      </c>
      <c r="BE13" s="205">
        <f>IF(ISNUMBER(BB13/BA13),BB13/BA13, " - ")</f>
        <v>1.6892109500805152</v>
      </c>
      <c r="BF13" s="205">
        <f>IF(ISNUMBER(BC13/BA13),BC13/BA13, " - ")</f>
        <v>0.33333333333333331</v>
      </c>
      <c r="BG13" s="206">
        <f>IF(ISNUMBER((AY13+AZ13)/BA13),(AY13+AZ13)/BA13," - ")</f>
        <v>2.6892109500805152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373</v>
      </c>
      <c r="J16" s="182">
        <v>589</v>
      </c>
      <c r="K16" s="182">
        <v>581</v>
      </c>
      <c r="L16" s="182">
        <v>386</v>
      </c>
      <c r="M16" s="182">
        <v>66</v>
      </c>
      <c r="N16" s="182">
        <v>384</v>
      </c>
      <c r="O16" s="180">
        <v>1</v>
      </c>
      <c r="P16" s="182">
        <v>25</v>
      </c>
      <c r="Q16" s="182">
        <v>17</v>
      </c>
      <c r="R16" s="182">
        <v>75</v>
      </c>
      <c r="S16" s="182">
        <v>395</v>
      </c>
      <c r="T16" s="182">
        <v>517</v>
      </c>
      <c r="U16" s="182">
        <v>540</v>
      </c>
      <c r="V16" s="182">
        <v>391</v>
      </c>
      <c r="W16" s="182">
        <v>67</v>
      </c>
      <c r="X16" s="188">
        <v>346</v>
      </c>
      <c r="Y16" s="201">
        <v>0</v>
      </c>
      <c r="Z16" s="182">
        <v>0</v>
      </c>
      <c r="AA16" s="182">
        <v>0</v>
      </c>
      <c r="AB16" s="182">
        <v>0</v>
      </c>
      <c r="AC16" s="182">
        <v>0</v>
      </c>
      <c r="AD16" s="182">
        <v>5</v>
      </c>
      <c r="AE16" s="182">
        <v>5</v>
      </c>
      <c r="AF16" s="188">
        <v>0</v>
      </c>
      <c r="AG16" s="201">
        <v>0</v>
      </c>
      <c r="AH16" s="182">
        <v>0</v>
      </c>
      <c r="AI16" s="182">
        <v>0</v>
      </c>
      <c r="AJ16" s="202">
        <v>0</v>
      </c>
      <c r="AK16" s="181">
        <v>2</v>
      </c>
      <c r="AL16" s="182">
        <v>4</v>
      </c>
      <c r="AM16" s="182">
        <v>3</v>
      </c>
      <c r="AN16" s="188">
        <v>3</v>
      </c>
      <c r="AO16" s="258">
        <v>2</v>
      </c>
      <c r="AP16" s="154">
        <v>2</v>
      </c>
      <c r="AQ16" s="154">
        <v>2</v>
      </c>
      <c r="AR16" s="154">
        <v>2</v>
      </c>
      <c r="AS16" s="339" t="s">
        <v>487</v>
      </c>
      <c r="AT16" s="202"/>
      <c r="AU16" s="201"/>
      <c r="AV16" s="202"/>
      <c r="AW16" s="201"/>
      <c r="AX16" s="202"/>
      <c r="AY16" s="126">
        <f t="shared" si="9"/>
        <v>395</v>
      </c>
      <c r="AZ16" s="127">
        <f t="shared" si="9"/>
        <v>517</v>
      </c>
      <c r="BA16" s="127">
        <f t="shared" si="9"/>
        <v>540</v>
      </c>
      <c r="BB16" s="127">
        <f t="shared" si="9"/>
        <v>391</v>
      </c>
      <c r="BC16" s="125">
        <f>IF(ISNUMBER(W16),W16," - ")</f>
        <v>67</v>
      </c>
      <c r="BD16" s="126">
        <f t="shared" ref="BD16" si="11">IF(ISNUMBER(BA16/AZ16),BA16/AZ16," - ")</f>
        <v>1.0444874274661509</v>
      </c>
      <c r="BE16" s="127">
        <f t="shared" ref="BE16" si="12">IF(ISNUMBER(BB16/BA16),BB16/BA16, " - ")</f>
        <v>0.72407407407407409</v>
      </c>
      <c r="BF16" s="127">
        <f t="shared" ref="BF16" si="13">IF(ISNUMBER(BC16/BA16),BC16/BA16, " - ")</f>
        <v>0.12407407407407407</v>
      </c>
      <c r="BG16" s="195">
        <f t="shared" si="10"/>
        <v>1.6888888888888889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28</v>
      </c>
      <c r="K17" s="182">
        <v>34</v>
      </c>
      <c r="L17" s="182">
        <v>18</v>
      </c>
      <c r="M17" s="182">
        <v>3</v>
      </c>
      <c r="N17" s="182">
        <v>23</v>
      </c>
      <c r="O17" s="182">
        <v>0</v>
      </c>
      <c r="P17" s="182">
        <v>1</v>
      </c>
      <c r="Q17" s="182">
        <v>0</v>
      </c>
      <c r="R17" s="182">
        <v>1</v>
      </c>
      <c r="S17" s="182">
        <v>14</v>
      </c>
      <c r="T17" s="182">
        <v>49</v>
      </c>
      <c r="U17" s="182">
        <v>36</v>
      </c>
      <c r="V17" s="182">
        <v>28</v>
      </c>
      <c r="W17" s="182">
        <v>13</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49</v>
      </c>
      <c r="BA17" s="129">
        <f t="shared" si="14"/>
        <v>36</v>
      </c>
      <c r="BB17" s="129">
        <f t="shared" si="14"/>
        <v>28</v>
      </c>
      <c r="BC17" s="125">
        <f>IF(ISNUMBER(W17),W17," - ")</f>
        <v>13</v>
      </c>
      <c r="BD17" s="126">
        <f>IF(ISNUMBER(BA17/AZ17),BA17/AZ17," - ")</f>
        <v>0.73469387755102045</v>
      </c>
      <c r="BE17" s="127">
        <f>IF(ISNUMBER(BB17/BA17),BB17/BA17, " - ")</f>
        <v>0.77777777777777779</v>
      </c>
      <c r="BF17" s="127">
        <f>IF(ISNUMBER(BC17/BA17),BC17/BA17, " - ")</f>
        <v>0.3611111111111111</v>
      </c>
      <c r="BG17" s="195">
        <f>IF(ISNUMBER((AY17+AZ17)/BA17),(AY17+AZ17)/BA17," - ")</f>
        <v>1.75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397</v>
      </c>
      <c r="J18" s="183">
        <f t="shared" si="15"/>
        <v>617</v>
      </c>
      <c r="K18" s="183">
        <f t="shared" si="15"/>
        <v>615</v>
      </c>
      <c r="L18" s="183">
        <f t="shared" si="15"/>
        <v>404</v>
      </c>
      <c r="M18" s="183">
        <f t="shared" si="15"/>
        <v>69</v>
      </c>
      <c r="N18" s="183">
        <f t="shared" si="15"/>
        <v>407</v>
      </c>
      <c r="O18" s="183">
        <f t="shared" si="15"/>
        <v>1</v>
      </c>
      <c r="P18" s="183">
        <f t="shared" si="15"/>
        <v>26</v>
      </c>
      <c r="Q18" s="183">
        <f t="shared" si="15"/>
        <v>17</v>
      </c>
      <c r="R18" s="183">
        <f t="shared" si="15"/>
        <v>76</v>
      </c>
      <c r="S18" s="183">
        <f t="shared" si="15"/>
        <v>409</v>
      </c>
      <c r="T18" s="183">
        <f t="shared" si="15"/>
        <v>566</v>
      </c>
      <c r="U18" s="183">
        <f t="shared" si="15"/>
        <v>576</v>
      </c>
      <c r="V18" s="183">
        <f t="shared" si="15"/>
        <v>419</v>
      </c>
      <c r="W18" s="183">
        <f t="shared" si="15"/>
        <v>80</v>
      </c>
      <c r="X18" s="183">
        <f t="shared" si="15"/>
        <v>364</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2</v>
      </c>
      <c r="AL18" s="183">
        <f t="shared" si="15"/>
        <v>4</v>
      </c>
      <c r="AM18" s="183">
        <f t="shared" si="15"/>
        <v>3</v>
      </c>
      <c r="AN18" s="183">
        <f t="shared" si="15"/>
        <v>3</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409</v>
      </c>
      <c r="AZ18" s="183">
        <f>SUBTOTAL(9,AZ14:AZ17)</f>
        <v>566</v>
      </c>
      <c r="BA18" s="183">
        <f>SUBTOTAL(9,BA14:BA17)</f>
        <v>576</v>
      </c>
      <c r="BB18" s="183">
        <f>SUBTOTAL(9,BB14:BB17)</f>
        <v>419</v>
      </c>
      <c r="BC18" s="183">
        <f>SUBTOTAL(9,BC14:BC17)</f>
        <v>80</v>
      </c>
      <c r="BD18" s="204">
        <f>IF(ISNUMBER(BA18/AZ18),BA18/AZ18," - ")</f>
        <v>1.0176678445229681</v>
      </c>
      <c r="BE18" s="205">
        <f>IF(ISNUMBER(BB18/BA18),BB18/BA18, " - ")</f>
        <v>0.72743055555555558</v>
      </c>
      <c r="BF18" s="205">
        <f>IF(ISNUMBER(BC18/BA18),BC18/BA18, " - ")</f>
        <v>0.1388888888888889</v>
      </c>
      <c r="BG18" s="206">
        <f>IF(ISNUMBER((AY18+AZ18)/BA18),(AY18+AZ18)/BA18," - ")</f>
        <v>1.6927083333333333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1301</v>
      </c>
      <c r="J19" s="134">
        <f t="shared" si="18"/>
        <v>930</v>
      </c>
      <c r="K19" s="134">
        <f t="shared" si="18"/>
        <v>924</v>
      </c>
      <c r="L19" s="134">
        <f t="shared" si="18"/>
        <v>1312</v>
      </c>
      <c r="M19" s="134">
        <f t="shared" si="18"/>
        <v>154</v>
      </c>
      <c r="N19" s="134">
        <f t="shared" si="18"/>
        <v>559</v>
      </c>
      <c r="O19" s="134">
        <f t="shared" si="18"/>
        <v>106</v>
      </c>
      <c r="P19" s="134">
        <f t="shared" si="18"/>
        <v>91</v>
      </c>
      <c r="Q19" s="134">
        <f t="shared" si="18"/>
        <v>122</v>
      </c>
      <c r="R19" s="134">
        <f t="shared" si="18"/>
        <v>1259</v>
      </c>
      <c r="S19" s="134">
        <f t="shared" si="18"/>
        <v>1100</v>
      </c>
      <c r="T19" s="134">
        <f t="shared" si="18"/>
        <v>1506</v>
      </c>
      <c r="U19" s="134">
        <f t="shared" si="18"/>
        <v>1168</v>
      </c>
      <c r="V19" s="134">
        <f t="shared" si="18"/>
        <v>1458</v>
      </c>
      <c r="W19" s="134">
        <f t="shared" si="18"/>
        <v>183</v>
      </c>
      <c r="X19" s="134">
        <f t="shared" si="18"/>
        <v>556</v>
      </c>
      <c r="Y19" s="134">
        <f t="shared" si="18"/>
        <v>74</v>
      </c>
      <c r="Z19" s="134">
        <f t="shared" si="18"/>
        <v>18</v>
      </c>
      <c r="AA19" s="134">
        <f t="shared" si="18"/>
        <v>27</v>
      </c>
      <c r="AB19" s="134">
        <f t="shared" si="18"/>
        <v>65</v>
      </c>
      <c r="AC19" s="134">
        <f t="shared" si="18"/>
        <v>0</v>
      </c>
      <c r="AD19" s="134">
        <f t="shared" si="18"/>
        <v>5</v>
      </c>
      <c r="AE19" s="134">
        <f t="shared" si="18"/>
        <v>5</v>
      </c>
      <c r="AF19" s="134">
        <f t="shared" si="18"/>
        <v>0</v>
      </c>
      <c r="AG19" s="134">
        <f t="shared" si="18"/>
        <v>15</v>
      </c>
      <c r="AH19" s="134">
        <f t="shared" si="18"/>
        <v>24</v>
      </c>
      <c r="AI19" s="134">
        <f t="shared" si="18"/>
        <v>29</v>
      </c>
      <c r="AJ19" s="134">
        <f t="shared" si="18"/>
        <v>10</v>
      </c>
      <c r="AK19" s="134">
        <f t="shared" si="18"/>
        <v>2</v>
      </c>
      <c r="AL19" s="134">
        <f t="shared" si="18"/>
        <v>4</v>
      </c>
      <c r="AM19" s="134">
        <f t="shared" si="18"/>
        <v>3</v>
      </c>
      <c r="AN19" s="209">
        <f t="shared" si="18"/>
        <v>3</v>
      </c>
      <c r="AO19" s="210">
        <v>3</v>
      </c>
      <c r="AP19" s="210">
        <v>2</v>
      </c>
      <c r="AQ19" s="210">
        <v>2</v>
      </c>
      <c r="AR19" s="210">
        <v>2</v>
      </c>
      <c r="AS19" s="152">
        <f t="shared" si="18"/>
        <v>0</v>
      </c>
      <c r="AT19" s="152">
        <f t="shared" si="18"/>
        <v>0</v>
      </c>
      <c r="AU19" s="210"/>
      <c r="AV19" s="211"/>
      <c r="AW19" s="210"/>
      <c r="AX19" s="211"/>
      <c r="AY19" s="133">
        <f>SUBTOTAL(9,AY9:AY18)</f>
        <v>1115</v>
      </c>
      <c r="AZ19" s="134">
        <f>SUBTOTAL(9,AZ9:AZ18)</f>
        <v>1530</v>
      </c>
      <c r="BA19" s="134">
        <f>SUBTOTAL(9,BA9:BA18)</f>
        <v>1197</v>
      </c>
      <c r="BB19" s="134">
        <f>SUBTOTAL(9,BB9:BB18)</f>
        <v>1468</v>
      </c>
      <c r="BC19" s="135">
        <f>SUBTOTAL(9,BC9:BC18)</f>
        <v>287</v>
      </c>
      <c r="BD19" s="212">
        <f>IF(ISNUMBER(BA19/AZ19),BA19/AZ19," - ")</f>
        <v>0.78235294117647058</v>
      </c>
      <c r="BE19" s="209">
        <f>IF(ISNUMBER(BB19/BA19),BB19/BA19, " - ")</f>
        <v>1.2263993316624895</v>
      </c>
      <c r="BF19" s="209">
        <f>IF(ISNUMBER(BC19/BA19),BC19/BA19, " - ")</f>
        <v>0.23976608187134502</v>
      </c>
      <c r="BG19" s="135">
        <f>IF(ISNUMBER((AY19+AZ19)/BA19),(AY19+AZ19)/BA19," - ")</f>
        <v>2.2096908939014202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5Lf365SsXOZmZD/ZcjytB9GO2LfSX3mlvOlXxwY6WhBreKlipgPxBqX5JvrUYpBQ8vy1yFBK9GnKRkIjDmQuA==" saltValue="6Vfq9igVFj7MTnho8kD5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zEOERKGwvzUqjbBF5btrsuC2I21z4sxXv3U1RHgqVr/+v4ZVOW/5I4X1WNmbEaznC0Zs7HIlG/kUAABXZeqBA==" saltValue="HwuRMUE6yZZtje033kpa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1</v>
      </c>
      <c r="AD10" s="333"/>
      <c r="AE10" s="483"/>
      <c r="AF10" s="331">
        <f>IF(ISNUMBER(Datos!L10),Datos!L10,"-")</f>
        <v>18</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8</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1.9285714285714288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-4.3478260869565216E-2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1161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v>
      </c>
      <c r="BD12" s="228">
        <f>IF(ISNUMBER(Datos!N12),Datos!N12," - ")</f>
        <v>144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0.99035369774919613</v>
      </c>
      <c r="BH12" s="259">
        <f>IF(ISNUMBER(((IF(J_V="SI",Datos!L12/Datos!K12,(Datos!L12+Datos!AB12)/(Datos!K12+Datos!AA12)))*11)/factor_trimestre),((IF(J_V="SI",Datos!L12/Datos!K12,(Datos!L12+Datos!AB12)/(Datos!K12+Datos!AA12)))*11)/factor_trimestre," - ")</f>
        <v>9.3019480519480506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-3.2500000000000001E-2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105</v>
      </c>
      <c r="AD13" s="898">
        <f t="shared" si="1"/>
        <v>0</v>
      </c>
      <c r="AE13" s="898">
        <f t="shared" si="1"/>
        <v>0</v>
      </c>
      <c r="AF13" s="898">
        <f t="shared" si="1"/>
        <v>18</v>
      </c>
      <c r="AG13" s="898">
        <f t="shared" si="1"/>
        <v>0</v>
      </c>
      <c r="AH13" s="898">
        <f t="shared" si="1"/>
        <v>65</v>
      </c>
      <c r="AI13" s="898">
        <f t="shared" si="1"/>
        <v>0</v>
      </c>
      <c r="AJ13" s="898">
        <f t="shared" si="1"/>
        <v>0</v>
      </c>
      <c r="AK13" s="898">
        <f t="shared" si="1"/>
        <v>0</v>
      </c>
      <c r="AL13" s="898">
        <f t="shared" si="1"/>
        <v>0</v>
      </c>
      <c r="AM13" s="898">
        <f t="shared" si="1"/>
        <v>1183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v>
      </c>
      <c r="BD13" s="898">
        <f t="shared" si="1"/>
        <v>152</v>
      </c>
      <c r="BE13" s="898">
        <f t="shared" si="1"/>
        <v>0</v>
      </c>
      <c r="BF13" s="898">
        <f t="shared" si="1"/>
        <v>0</v>
      </c>
      <c r="BG13" s="898">
        <f>IF(ISNUMBER(Datos!K13/Datos!J13),Datos!K13/Datos!J13," - ")</f>
        <v>0.98722044728434499</v>
      </c>
      <c r="BH13" s="902">
        <f>IF(ISNUMBER(((Datos!L13/Datos!K13)*11)/factor_trimestre),((Datos!L13/Datos!K13)*11)/factor_trimestre," - ")</f>
        <v>8.8155339805825239</v>
      </c>
      <c r="BI13" s="898">
        <f>IF(ISNUMBER('Resol  Asuntos'!D13/NºAsuntos!G13),'Resol  Asuntos'!D13/NºAsuntos!G13," - ")</f>
        <v>0.25297619047619047</v>
      </c>
      <c r="BJ13" s="898" t="str">
        <f>IF(ISNUMBER(Datos!CI13/Datos!CJ13),Datos!CI13/Datos!CJ13," - ")</f>
        <v xml:space="preserve"> - </v>
      </c>
      <c r="BK13" s="898">
        <f>SUBTOTAL(9,BK8:BK12)</f>
        <v>0</v>
      </c>
      <c r="BL13" s="898">
        <f>IF(ISNUMBER((I13-AB13+L13)/(F13)),(I13-AB13+L13)/(F13)," - ")</f>
        <v>-1.0769230769230769</v>
      </c>
      <c r="BM13" s="903">
        <f>SUBTOTAL(9,BM9:BM12)</f>
        <v>-7.5978260869565217E-2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378</v>
      </c>
      <c r="G16" s="597">
        <f>IF(ISNUMBER(IF(D_I="SI",Datos!I16,Datos!I16+Datos!AC16)),IF(D_I="SI",Datos!I16,Datos!I16+Datos!AC16)," - ")</f>
        <v>373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581</v>
      </c>
      <c r="AC16" s="225">
        <f>IF(ISNUMBER(Datos!Q16),Datos!Q16," - ")</f>
        <v>17</v>
      </c>
      <c r="AD16" s="333"/>
      <c r="AE16" s="483"/>
      <c r="AF16" s="595">
        <f>IF(ISNUMBER(IF(D_I="SI",Datos!L16,Datos!L16+Datos!AF16)),IF(D_I="SI",Datos!L16,Datos!L16+Datos!AF16)," - ")</f>
        <v>386</v>
      </c>
      <c r="AG16" s="333"/>
      <c r="AH16" s="333"/>
      <c r="AI16" s="333"/>
      <c r="AJ16" s="333"/>
      <c r="AK16" s="333"/>
      <c r="AL16" s="478"/>
      <c r="AM16" s="334">
        <f>IF(ISNUMBER(Datos!R16),Datos!R16," - ")</f>
        <v>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66</v>
      </c>
      <c r="BD16" s="228">
        <f>IF(ISNUMBER(Datos!N16),Datos!N16," - ")</f>
        <v>384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0.98641765704584039</v>
      </c>
      <c r="BH16" s="259">
        <f>IF(ISNUMBER(((IF(D_I="SI",Datos!L16/Datos!K16,(Datos!L16+Datos!AF16)/(Datos!K16+Datos!AE16)))*11)/factor_trimestre),((IF(D_I="SI",Datos!L16/Datos!K16,(Datos!L16+Datos!AF16)/(Datos!K16+Datos!AE16)))*11)/factor_trimestre," - ")</f>
        <v>1.9931153184165231</v>
      </c>
      <c r="BI16" s="242">
        <f>IF(ISNUMBER('Resol  Asuntos'!D16/NºAsuntos!G16),'Resol  Asuntos'!D16/NºAsuntos!G16," - ")</f>
        <v>0.11359724612736662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v>
      </c>
      <c r="AC17" s="225">
        <f>IF(ISNUMBER(Datos!Q17),Datos!Q17," - ")</f>
        <v>0</v>
      </c>
      <c r="AD17" s="333"/>
      <c r="AE17" s="483"/>
      <c r="AF17" s="331">
        <f>IF(ISNUMBER(Datos!L17),Datos!L17,"-")</f>
        <v>18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1.2142857142857142</v>
      </c>
      <c r="BH17" s="259">
        <f>IF(ISNUMBER(((IF(D_I="SI",Datos!L17/Datos!K17,(Datos!L17+Datos!AF17)/(Datos!K17+Datos!AE17)))*11)/factor_trimestre),((IF(D_I="SI",Datos!L17/Datos!K17,(Datos!L17+Datos!AF17)/(Datos!K17+Datos!AE17)))*11)/factor_trimestre," - ")</f>
        <v>1.588235294117647</v>
      </c>
      <c r="BI17" s="242">
        <f>IF(ISNUMBER('Resol  Asuntos'!D17/NºAsuntos!G17),'Resol  Asuntos'!D17/NºAsuntos!G17," - ")</f>
        <v>8.8235294117647065E-2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378</v>
      </c>
      <c r="G18" s="897">
        <f>SUBTOTAL(9,G15:G17)</f>
        <v>397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615</v>
      </c>
      <c r="AC18" s="898">
        <f t="shared" si="4"/>
        <v>17</v>
      </c>
      <c r="AD18" s="898">
        <f t="shared" si="4"/>
        <v>0</v>
      </c>
      <c r="AE18" s="898">
        <f t="shared" si="4"/>
        <v>0</v>
      </c>
      <c r="AF18" s="898">
        <f t="shared" si="4"/>
        <v>404</v>
      </c>
      <c r="AG18" s="898">
        <f t="shared" si="4"/>
        <v>0</v>
      </c>
      <c r="AH18" s="898">
        <f t="shared" si="4"/>
        <v>0</v>
      </c>
      <c r="AI18" s="898">
        <f t="shared" si="4"/>
        <v>0</v>
      </c>
      <c r="AJ18" s="898">
        <f t="shared" si="4"/>
        <v>0</v>
      </c>
      <c r="AK18" s="898">
        <f t="shared" si="4"/>
        <v>0</v>
      </c>
      <c r="AL18" s="898">
        <f t="shared" si="4"/>
        <v>0</v>
      </c>
      <c r="AM18" s="898">
        <f t="shared" si="4"/>
        <v>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v>
      </c>
      <c r="BD18" s="898">
        <f t="shared" si="4"/>
        <v>407</v>
      </c>
      <c r="BE18" s="898">
        <f t="shared" si="4"/>
        <v>0</v>
      </c>
      <c r="BF18" s="898">
        <f t="shared" si="4"/>
        <v>0</v>
      </c>
      <c r="BG18" s="898">
        <f>IF(ISNUMBER(Datos!K18/Datos!J18),Datos!K18/Datos!J18," - ")</f>
        <v>0.99675850891410045</v>
      </c>
      <c r="BH18" s="902">
        <f>IF(ISNUMBER(((Datos!L18/Datos!K18)*11)/factor_trimestre),((Datos!L18/Datos!K18)*11)/factor_trimestre," - ")</f>
        <v>1.9707317073170731</v>
      </c>
      <c r="BI18" s="898">
        <f>SUBTOTAL(9,BI15:BI17)</f>
        <v>0.20183254024501368</v>
      </c>
      <c r="BJ18" s="898">
        <f>SUBTOTAL(9,BJ15:BJ17)</f>
        <v>0</v>
      </c>
      <c r="BK18" s="898">
        <f>SUBTOTAL(9,BK15:BK17)</f>
        <v>0</v>
      </c>
      <c r="BL18" s="898">
        <f>IF(ISNUMBER((I18-AB18+L18)/(F18)),(I18-AB18+L18)/(F18)," - ")</f>
        <v>-1.626984126984127</v>
      </c>
      <c r="BM18" s="904">
        <f>IF(ISNUMBER((Datos!P18-Datos!Q18)/(Datos!R18-Datos!P18+Datos!Q18)),(Datos!P18-Datos!Q18)/(Datos!R18-Datos!P18+Datos!Q18)," - ")</f>
        <v>0.13432835820895522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404</v>
      </c>
      <c r="G19" s="819">
        <f t="shared" si="6"/>
        <v>423</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643</v>
      </c>
      <c r="AC19" s="820">
        <f t="shared" si="7"/>
        <v>122</v>
      </c>
      <c r="AD19" s="820">
        <f t="shared" si="7"/>
        <v>0</v>
      </c>
      <c r="AE19" s="820">
        <f t="shared" si="7"/>
        <v>0</v>
      </c>
      <c r="AF19" s="827">
        <f t="shared" si="7"/>
        <v>422</v>
      </c>
      <c r="AG19" s="827">
        <f t="shared" si="7"/>
        <v>0</v>
      </c>
      <c r="AH19" s="827">
        <f t="shared" si="7"/>
        <v>65</v>
      </c>
      <c r="AI19" s="827">
        <f t="shared" si="7"/>
        <v>0</v>
      </c>
      <c r="AJ19" s="820">
        <f t="shared" si="7"/>
        <v>0</v>
      </c>
      <c r="AK19" s="827">
        <f t="shared" si="7"/>
        <v>0</v>
      </c>
      <c r="AL19" s="827">
        <f t="shared" si="7"/>
        <v>0</v>
      </c>
      <c r="AM19" s="827">
        <f t="shared" si="7"/>
        <v>1259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154</v>
      </c>
      <c r="BD19" s="819">
        <f t="shared" si="7"/>
        <v>559</v>
      </c>
      <c r="BE19" s="819">
        <f t="shared" si="7"/>
        <v>0</v>
      </c>
      <c r="BF19" s="829">
        <f t="shared" si="7"/>
        <v>0</v>
      </c>
      <c r="BG19" s="914">
        <f>IF(ISNUMBER(Datos!K19/Datos!J19),Datos!K19/Datos!J19," - ")</f>
        <v>0.99354838709677418</v>
      </c>
      <c r="BH19" s="914">
        <f>IF(ISNUMBER(((Datos!L19/Datos!K19)*11)/factor_trimestre),((Datos!L19/Datos!K19)*11)/factor_trimestre," - ")</f>
        <v>4.2597402597402603</v>
      </c>
      <c r="BI19" s="812">
        <f>IF(ISNUMBER(Datos!J19/Datos!I19),Datos!J19/Datos!I19," - ")</f>
        <v>0.71483474250576484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-1.5915841584158417</v>
      </c>
      <c r="BM19" s="888">
        <f>IF(ISNUMBER((Datos!P19-Datos!Q19+R19)/(Datos!R19-Datos!P19+Datos!Q19-R19)),(Datos!P19-Datos!Q19+R19)/(Datos!R19-Datos!P19+Datos!Q19-R19)," - ")</f>
        <v>-2.4031007751937984E-2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203.22729475474827</v>
      </c>
      <c r="G21" s="551">
        <f>IF(ISNUMBER(STDEV(G8:G18)),STDEV(G8:G18),"-")</f>
        <v>197.18189572067715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311.3481973610896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32.721043178154737</v>
      </c>
      <c r="BD21" s="550"/>
      <c r="BE21" s="550">
        <f>IF(ISNUMBER(STDEV(BE8:BE18)),STDEV(BE8:BE18),"-")</f>
        <v>0</v>
      </c>
      <c r="BF21" s="555">
        <f>IF(ISNUMBER(STDEV(BF8:BF18)),STDEV(BF8:BF18),"-")</f>
        <v>0</v>
      </c>
      <c r="BG21" s="774">
        <f>IF(ISNUMBER(STDEV(BG8:BG18)),STDEV(BG8:BG18),"-")</f>
        <v>0.17393024523532377</v>
      </c>
      <c r="BH21" s="775">
        <f>IF(ISNUMBER(STDEV(BH8:BH18)),STDEV(BH8:BH18),"-")</f>
        <v>3.7182600479231307</v>
      </c>
      <c r="BI21" s="248">
        <f>IF(ISNUMBER(STDEV(BI8:BI18)),STDEV(BI8:BI18),"-")</f>
        <v>7.6656569671310792E-2</v>
      </c>
      <c r="BJ21" s="229" t="str">
        <f>IF(ISNUMBER(BL21/BM21),BL21/BM21," - ")</f>
        <v xml:space="preserve"> - </v>
      </c>
      <c r="BK21" s="574"/>
      <c r="BL21" s="558">
        <f>IF(ISNUMBER(STDEV(BL8:BL18)),STDEV(BL8:BL18),"-")</f>
        <v>0.3889518985647607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UgEcE9Izgk1IR33+6H5i3zFPwcrIn0XRoE9vq4q4E5yWNIEwyz7woRhdFOx9Zyn+T4rKps7HeJZCwhpvYwvbw==" saltValue="zB68h8cV9fmdmeOGOh97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ALCAÑIZ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1</v>
      </c>
      <c r="AA10" s="331">
        <f>IF(ISNUMBER(Datos!L10),Datos!L10,"-")</f>
        <v>18</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18</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1.9285714285714288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-4.3478260869565216E-2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v>
      </c>
      <c r="AA12" s="331" t="str">
        <f>IF(ISNUMBER(IF(J_V="SI",Datos!L12,Datos!L12+Datos!AB12)-IF(Monitorios="SI",Datos!CD12,0)),
                          IF(J_V="SI",Datos!L12,Datos!L12+Datos!AB12)-IF(Monitorios="SI",Datos!CD12,0),
                          " - ")</f>
        <v xml:space="preserve"> - </v>
      </c>
      <c r="AB12" s="333"/>
      <c r="AC12" s="333"/>
      <c r="AD12" s="483"/>
      <c r="AE12" s="483">
        <f>IF(ISNUMBER(Datos!R12),Datos!R12," - ")</f>
        <v>1161</v>
      </c>
      <c r="AF12" s="228" t="str">
        <f>IF(ISNUMBER(Datos!BV12),Datos!BV12," - ")</f>
        <v xml:space="preserve"> - </v>
      </c>
      <c r="AG12" s="224" t="str">
        <f>IF(ISNUMBER(Datos!DV12),Datos!DV12," - ")</f>
        <v xml:space="preserve"> - </v>
      </c>
      <c r="AH12" s="297"/>
      <c r="AI12" s="226"/>
      <c r="AJ12" s="224">
        <f>IF(ISNUMBER(Datos!M12),Datos!M12," - ")</f>
        <v>67</v>
      </c>
      <c r="AK12" s="228">
        <f>IF(ISNUMBER(Datos!N12),Datos!N12," - ")</f>
        <v>144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9.3019480519480506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-3.2500000000000001E-2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105</v>
      </c>
      <c r="AA13" s="899">
        <f t="shared" si="2"/>
        <v>18</v>
      </c>
      <c r="AB13" s="899">
        <f t="shared" si="2"/>
        <v>0</v>
      </c>
      <c r="AC13" s="899">
        <f t="shared" si="2"/>
        <v>0</v>
      </c>
      <c r="AD13" s="899">
        <f t="shared" si="2"/>
        <v>0</v>
      </c>
      <c r="AE13" s="899">
        <f t="shared" si="2"/>
        <v>1183</v>
      </c>
      <c r="AF13" s="907">
        <f t="shared" si="2"/>
        <v>0</v>
      </c>
      <c r="AG13" s="907">
        <f t="shared" si="2"/>
        <v>0</v>
      </c>
      <c r="AH13" s="907">
        <f t="shared" si="2"/>
        <v>0</v>
      </c>
      <c r="AI13" s="907">
        <f t="shared" si="2"/>
        <v>0</v>
      </c>
      <c r="AJ13" s="907">
        <f t="shared" si="2"/>
        <v>85</v>
      </c>
      <c r="AK13" s="907">
        <f t="shared" si="2"/>
        <v>152</v>
      </c>
      <c r="AL13" s="907">
        <f t="shared" si="2"/>
        <v>0</v>
      </c>
      <c r="AM13" s="907">
        <f t="shared" si="2"/>
        <v>0</v>
      </c>
      <c r="AN13" s="907">
        <f t="shared" si="2"/>
        <v>0</v>
      </c>
      <c r="AO13" s="903">
        <f>IF(ISNUMBER(((NºAsuntos!I13/NºAsuntos!G13)*11)/factor_trimestre),((NºAsuntos!I13/NºAsuntos!G13)*11)/factor_trimestre," - ")</f>
        <v>8.6875</v>
      </c>
      <c r="AP13" s="909" t="str">
        <f>IF(ISNUMBER(Datos!CI13/Datos!CJ13),Datos!CI13/Datos!CJ13," - ")</f>
        <v xml:space="preserve"> - </v>
      </c>
      <c r="AQ13" s="927">
        <f t="shared" ref="AQ13:AV13" si="3">SUBTOTAL(9,AQ9:AQ12)</f>
        <v>0</v>
      </c>
      <c r="AR13" s="927">
        <f t="shared" si="3"/>
        <v>-7.5978260869565217E-2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378</v>
      </c>
      <c r="G16" s="224">
        <f>IF(ISNUMBER(IF(D_I="SI",Datos!I16,Datos!I16+Datos!AC16)),IF(D_I="SI",Datos!I16,Datos!I16+Datos!AC16)," - ")</f>
        <v>373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581</v>
      </c>
      <c r="Z16" s="618">
        <f>IF(ISNUMBER(Datos!Q16),Datos!Q16," - ")</f>
        <v>17</v>
      </c>
      <c r="AA16" s="331">
        <f>IF(ISNUMBER(IF(D_I="SI",Datos!L16,Datos!L16+Datos!AF16)),IF(D_I="SI",Datos!L16,Datos!L16+Datos!AF16)," - ")</f>
        <v>386</v>
      </c>
      <c r="AB16" s="333"/>
      <c r="AC16" s="333"/>
      <c r="AD16" s="483"/>
      <c r="AE16" s="483">
        <f>IF(ISNUMBER(Datos!R16),Datos!R16," - ")</f>
        <v>75</v>
      </c>
      <c r="AF16" s="228" t="str">
        <f>IF(ISNUMBER(Datos!BV16),Datos!BV16," - ")</f>
        <v xml:space="preserve"> - </v>
      </c>
      <c r="AG16" s="224"/>
      <c r="AH16" s="297"/>
      <c r="AI16" s="226"/>
      <c r="AJ16" s="224">
        <f>IF(ISNUMBER(Datos!M16),Datos!M16," - ")</f>
        <v>66</v>
      </c>
      <c r="AK16" s="228">
        <f>IF(ISNUMBER(Datos!N16),Datos!N16," - ")</f>
        <v>384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1.9931153184165231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v>
      </c>
      <c r="Z17" s="618">
        <f>IF(ISNUMBER(Datos!Q17),Datos!Q17," - ")</f>
        <v>0</v>
      </c>
      <c r="AA17" s="331">
        <f>IF(ISNUMBER(Datos!L17),Datos!L17,"-")</f>
        <v>18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1.588235294117647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378</v>
      </c>
      <c r="G18" s="897">
        <f>SUBTOTAL(9,G15:G17)</f>
        <v>397</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615</v>
      </c>
      <c r="Z18" s="931">
        <f t="shared" si="5"/>
        <v>17</v>
      </c>
      <c r="AA18" s="931">
        <f t="shared" si="5"/>
        <v>404</v>
      </c>
      <c r="AB18" s="931">
        <f t="shared" si="5"/>
        <v>0</v>
      </c>
      <c r="AC18" s="931">
        <f t="shared" si="5"/>
        <v>0</v>
      </c>
      <c r="AD18" s="931">
        <f t="shared" si="5"/>
        <v>0</v>
      </c>
      <c r="AE18" s="931">
        <f t="shared" si="5"/>
        <v>76</v>
      </c>
      <c r="AF18" s="931">
        <f t="shared" si="5"/>
        <v>0</v>
      </c>
      <c r="AG18" s="931">
        <f t="shared" si="5"/>
        <v>0</v>
      </c>
      <c r="AH18" s="931">
        <f t="shared" si="5"/>
        <v>0</v>
      </c>
      <c r="AI18" s="931">
        <f t="shared" si="5"/>
        <v>0</v>
      </c>
      <c r="AJ18" s="931">
        <f t="shared" si="5"/>
        <v>69</v>
      </c>
      <c r="AK18" s="931">
        <f t="shared" si="5"/>
        <v>407</v>
      </c>
      <c r="AL18" s="931">
        <f t="shared" si="5"/>
        <v>0</v>
      </c>
      <c r="AM18" s="931">
        <f t="shared" si="5"/>
        <v>0</v>
      </c>
      <c r="AN18" s="931">
        <f t="shared" si="5"/>
        <v>0</v>
      </c>
      <c r="AO18" s="933">
        <f>IF(ISNUMBER(((NºAsuntos!I18/NºAsuntos!G18)*11)/factor_trimestre),((NºAsuntos!I18/NºAsuntos!G18)*11)/factor_trimestre," - ")</f>
        <v>1.9707317073170731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404</v>
      </c>
      <c r="G19" s="819">
        <f t="shared" si="7"/>
        <v>423</v>
      </c>
      <c r="H19" s="820">
        <f t="shared" si="7"/>
        <v>0</v>
      </c>
      <c r="I19" s="819">
        <f t="shared" si="7"/>
        <v>0</v>
      </c>
      <c r="J19" s="821">
        <f t="shared" si="7"/>
        <v>0</v>
      </c>
      <c r="K19" s="819">
        <f t="shared" si="7"/>
        <v>0</v>
      </c>
      <c r="L19" s="822">
        <f t="shared" si="7"/>
        <v>0</v>
      </c>
      <c r="M19" s="819">
        <f t="shared" si="7"/>
        <v>0</v>
      </c>
      <c r="N19" s="820">
        <f t="shared" si="7"/>
        <v>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643</v>
      </c>
      <c r="Z19" s="826">
        <f t="shared" si="8"/>
        <v>122</v>
      </c>
      <c r="AA19" s="827">
        <f t="shared" si="8"/>
        <v>422</v>
      </c>
      <c r="AB19" s="827">
        <f t="shared" si="8"/>
        <v>0</v>
      </c>
      <c r="AC19" s="827">
        <f t="shared" si="8"/>
        <v>0</v>
      </c>
      <c r="AD19" s="828">
        <f t="shared" si="8"/>
        <v>0</v>
      </c>
      <c r="AE19" s="828">
        <f t="shared" si="8"/>
        <v>1259</v>
      </c>
      <c r="AF19" s="829">
        <f t="shared" si="8"/>
        <v>0</v>
      </c>
      <c r="AG19" s="830">
        <f t="shared" si="8"/>
        <v>0</v>
      </c>
      <c r="AH19" s="831">
        <f t="shared" si="8"/>
        <v>0</v>
      </c>
      <c r="AI19" s="829">
        <f t="shared" si="8"/>
        <v>0</v>
      </c>
      <c r="AJ19" s="819">
        <f t="shared" si="8"/>
        <v>154</v>
      </c>
      <c r="AK19" s="819">
        <f t="shared" si="8"/>
        <v>559</v>
      </c>
      <c r="AL19" s="819">
        <f t="shared" si="8"/>
        <v>0</v>
      </c>
      <c r="AM19" s="832">
        <f t="shared" si="8"/>
        <v>0</v>
      </c>
      <c r="AN19" s="822">
        <f>IF(ISNUMBER(Datos!K19/Datos!J19),Datos!K19/Datos!J19," - ")</f>
        <v>0.99354838709677418</v>
      </c>
      <c r="AO19" s="822">
        <f>IF(ISNUMBER(FIND("06",Criterios!A8,1)),(IF(ISNUMBER(((Datos!R19/Datos!Q19)*11)/factor_trimestre),((Datos!R19/Datos!Q19)*11)/factor_trimestre," - ")),(IF(ISNUMBER(((Datos!L19/Datos!K19)*11)/factor_trimestre),((Datos!L19/Datos!K19)*11)/factor_trimestre," - ")))</f>
        <v>4.2597402597402603</v>
      </c>
      <c r="AP19" s="833" t="str">
        <f>IF(ISNUMBER(Datos!CI19/Datos!CJ19),Datos!CI19/Datos!CJ19," - ")</f>
        <v xml:space="preserve"> - </v>
      </c>
      <c r="AQ19" s="833">
        <f>IF(OR(ISNUMBER(FIND("01",Criterios!A8,1)),ISNUMBER(FIND("02",Criterios!A8,1)),ISNUMBER(FIND("03",Criterios!A8,1)),ISNUMBER(FIND("04",Criterios!A8,1))),(J19-Y19+K19)/(F19-K19),(I19-Y19+K19)/(F19-K19))</f>
        <v>-1.5915841584158417</v>
      </c>
      <c r="AR19" s="833">
        <f>IF(ISNUMBER((Datos!P19-Datos!Q19+O19)/(Datos!R19-Datos!P19+Datos!Q19-O19)),(Datos!P19-Datos!Q19+O19)/(Datos!R19-Datos!P19+Datos!Q19-O19)," - ")</f>
        <v>-2.4031007751937984E-2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203.22729475474827</v>
      </c>
      <c r="G21" s="551">
        <f>IF(ISNUMBER(STDEV(G8:G18)),STDEV(G8:G18),"-")</f>
        <v>197.18189572067715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32.721043178154737</v>
      </c>
      <c r="AK21" s="251"/>
      <c r="AL21" s="251">
        <f>IF(ISNUMBER(STDEV(AL8:AL18)),STDEV(AL8:AL18),"-")</f>
        <v>0</v>
      </c>
      <c r="AM21" s="253">
        <f>IF(ISNUMBER(STDEV(AM8:AM18)),STDEV(AM8:AM18),"-")</f>
        <v>0</v>
      </c>
      <c r="AN21" s="538">
        <f>IF(ISNUMBER(STDEV(AN8:AN18)),STDEV(AN8:AN18),"-")</f>
        <v>0</v>
      </c>
      <c r="AO21" s="539">
        <f>IF(ISNUMBER(STDEV(AO8:AO18)),STDEV(AO8:AO18),"-")</f>
        <v>3.6871683108743465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teNvjt3Ug+Ki0LTYx96uQBtZue3F3DDYSb5qbq8c2QYwtKDleqlM6i047FdpK70UMzg722r9zPxuvsSTBrmHQ==" saltValue="p50zQeC5wpH6g/hit6fS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llANtS1FiZ3+RVPoLTdWXG+VRtrU7F+7jQbKHDM/URaHQHhXaYNKu/XJNRoltGiPVllV+fgcMysh1wn9A3MMg==" saltValue="bViF4fRUP1iU7oYLiMJ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Gy+8puh0Kygeoc0koLFyq2NYRDn0lCKoR69ssk1p665emIdY4UVYdWfe8JRTnRJOYifD4awQTr0d17Tk57w==" saltValue="M7lrz4+/aIqEMAgc+Vjm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ALCAÑIZ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0.25297619047619047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0.17888117976445397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zn6UbFNYj58OHRZyBS0OhRRDKSVh1aryj5k6HjrLYSbu3DKvF+vl6oP1t/UPP0uSxD1mW0DQhTvci1WZtl9wA==" saltValue="56Si8Qne+xI9UPQ2yLKC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gOKLi4CcQzsLieK5vHTjvfrjbDCJQ3Ec31x5kV7Bt395JlhQTFvmgfZR9rPCaiPpoA/rJR5aVfFtDYdkyvJqQ==" saltValue="dggtNxjlFz9etQhAR8kM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ALCAÑIZ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20</v>
      </c>
      <c r="F10" s="403">
        <f>IF(ISNUMBER(E10/B10),E10/B10," - ")</f>
        <v>20</v>
      </c>
      <c r="G10" s="402">
        <f>IF(ISNUMBER(Datos!K10),Datos!K10," - ")</f>
        <v>28</v>
      </c>
      <c r="H10" s="403">
        <f>IF(ISNUMBER(G10/B10),G10/B10," - ")</f>
        <v>28</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952</v>
      </c>
      <c r="D12" s="403">
        <f>IF(ISNUMBER(C12/Datos!BH12),C12/Datos!BH12," - ")</f>
        <v>476</v>
      </c>
      <c r="E12" s="402">
        <f>IF(ISNUMBER(IF(J_V="SI",Datos!J12,Datos!J12+Datos!Z12)),IF(J_V="SI",Datos!J12,Datos!J12+Datos!Z12)," - ")</f>
        <v>311</v>
      </c>
      <c r="F12" s="403">
        <f>IF(ISNUMBER(E12/B12),E12/B12," - ")</f>
        <v>155.5</v>
      </c>
      <c r="G12" s="402">
        <f>IF(ISNUMBER(IF(J_V="SI",Datos!K12,Datos!K12+Datos!AA12)),IF(J_V="SI",Datos!K12,Datos!K12+Datos!AA12)," - ")</f>
        <v>308</v>
      </c>
      <c r="H12" s="403">
        <f>IF(ISNUMBER(G12/B12),G12/B12," - ")</f>
        <v>154</v>
      </c>
      <c r="I12" s="402">
        <f>IF(ISNUMBER(IF(J_V="SI",Datos!L12,Datos!L12+Datos!AB12)),IF(J_V="SI",Datos!L12,Datos!L12+Datos!AB12)," - ")</f>
        <v>955</v>
      </c>
      <c r="J12" s="403">
        <f>IF(ISNUMBER(I12/B12),I12/B12," - ")</f>
        <v>477.5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978</v>
      </c>
      <c r="D13" s="849" t="str">
        <f>IF(ISNUMBER(C13/Datos!BI13),C13/Datos!BI13," - ")</f>
        <v xml:space="preserve"> - </v>
      </c>
      <c r="E13" s="848">
        <f>SUBTOTAL(9,E8:E12)</f>
        <v>331</v>
      </c>
      <c r="F13" s="849">
        <f>IF(ISNUMBER(E13/B13),E13/B13," - ")</f>
        <v>165.5</v>
      </c>
      <c r="G13" s="848">
        <f>SUBTOTAL(9,G8:G12)</f>
        <v>336</v>
      </c>
      <c r="H13" s="849">
        <f>IF(ISNUMBER(G13/B13),G13/B13," - ")</f>
        <v>168</v>
      </c>
      <c r="I13" s="848">
        <f>SUBTOTAL(9,I8:I12)</f>
        <v>973</v>
      </c>
      <c r="J13" s="849">
        <f>IF(ISNUMBER(I13/B13),I13/B13," - ")</f>
        <v>486.5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373</v>
      </c>
      <c r="D16" s="403">
        <f>IF(ISNUMBER(C16/Datos!BH16),C16/Datos!BH16," - ")</f>
        <v>186.5</v>
      </c>
      <c r="E16" s="402">
        <f>IF(ISNUMBER(IF(D_I="SI",Datos!J16,Datos!J16+Datos!AD16)),IF(D_I="SI",Datos!J16,Datos!J16+Datos!AD16)," - ")</f>
        <v>589</v>
      </c>
      <c r="F16" s="403">
        <f>IF(ISNUMBER(E16/B16),E16/B16," - ")</f>
        <v>294.5</v>
      </c>
      <c r="G16" s="402">
        <f>IF(ISNUMBER(IF(D_I="SI",Datos!K16,Datos!K16+Datos!AE16)),IF(D_I="SI",Datos!K16,Datos!K16+Datos!AE16)," - ")</f>
        <v>581</v>
      </c>
      <c r="H16" s="403">
        <f>IF(ISNUMBER(G16/B16),G16/B16," - ")</f>
        <v>290.5</v>
      </c>
      <c r="I16" s="402">
        <f>IF(ISNUMBER(IF(D_I="SI",Datos!L16,Datos!L16+Datos!AF16)),IF(D_I="SI",Datos!L16,Datos!L16+Datos!AF16)," - ")</f>
        <v>386</v>
      </c>
      <c r="J16" s="403">
        <f>IF(ISNUMBER(I16/B16),I16/B16," - ")</f>
        <v>193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28</v>
      </c>
      <c r="F17" s="403">
        <f>IF(ISNUMBER(E17/B17),E17/B17," - ")</f>
        <v>28</v>
      </c>
      <c r="G17" s="402">
        <f>IF(ISNUMBER(IF(D_I="SI",Datos!K17,Datos!K17+Datos!AE17)),IF(D_I="SI",Datos!K17,Datos!K17+Datos!AE17)," - ")</f>
        <v>34</v>
      </c>
      <c r="H17" s="403">
        <f>IF(ISNUMBER(G17/B17),G17/B17," - ")</f>
        <v>34</v>
      </c>
      <c r="I17" s="402">
        <f>IF(ISNUMBER(IF(D_I="SI",Datos!L17,Datos!L17+Datos!AF17)),IF(D_I="SI",Datos!L17,Datos!L17+Datos!AF17)," - ")</f>
        <v>18</v>
      </c>
      <c r="J17" s="403">
        <f>IF(ISNUMBER(I17/B17),I17/B17," - ")</f>
        <v>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397</v>
      </c>
      <c r="D18" s="849" t="str">
        <f>IF(ISNUMBER(C18/Datos!BI18),C18/Datos!BI18," - ")</f>
        <v xml:space="preserve"> - </v>
      </c>
      <c r="E18" s="848">
        <f>SUBTOTAL(9,E14:E17)</f>
        <v>617</v>
      </c>
      <c r="F18" s="849">
        <f>IF(ISNUMBER(E18/B18),E18/B18," - ")</f>
        <v>308.5</v>
      </c>
      <c r="G18" s="848">
        <f>SUBTOTAL(9,G14:G17)</f>
        <v>615</v>
      </c>
      <c r="H18" s="849">
        <f>IF(ISNUMBER(G18/B18),G18/B18," - ")</f>
        <v>307.5</v>
      </c>
      <c r="I18" s="848">
        <f>SUBTOTAL(9,I14:I17)</f>
        <v>404</v>
      </c>
      <c r="J18" s="849">
        <f>IF(ISNUMBER(I18/B18),I18/B18," - ")</f>
        <v>202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1375</v>
      </c>
      <c r="D19" s="794" t="str">
        <f>IF(ISNUMBER(C19/Datos!BI19),C19/Datos!BI19," - ")</f>
        <v xml:space="preserve"> - </v>
      </c>
      <c r="E19" s="793">
        <f>SUBTOTAL(9,E9:E18)</f>
        <v>948</v>
      </c>
      <c r="F19" s="794">
        <f>IF(ISNUMBER(E19/B19),E19/B19," - ")</f>
        <v>474</v>
      </c>
      <c r="G19" s="793">
        <f>SUBTOTAL(9,G9:G18)</f>
        <v>951</v>
      </c>
      <c r="H19" s="794">
        <f>IF(ISNUMBER(G19/B19),G19/B19," - ")</f>
        <v>475.5</v>
      </c>
      <c r="I19" s="793">
        <f>SUBTOTAL(9,I9:I18)</f>
        <v>1377</v>
      </c>
      <c r="J19" s="794">
        <f>IF(ISNUMBER(I19/B19),I19/B19," - ")</f>
        <v>688.5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7YkB8h6gTAXAwOJFpXW8q7TWeMNG6RwOTjaU+4dLDONcrTSZwdCmMf+OnCUeLbMnFn1kTEdnJqEkDfX6iuR2A==" saltValue="YPFCpASkOazMaPrL7Bdi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ALCAÑIZ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1.9285714285714288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v>
      </c>
      <c r="AM12" s="689">
        <f>IF(ISNUMBER(Datos!N12+DatosP!N16),Datos!N12+DatosP!N16," - ")</f>
        <v>144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9.3019480519480506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-3.2500000000000001E-2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104</v>
      </c>
      <c r="AE13" s="938">
        <f t="shared" si="1"/>
        <v>0</v>
      </c>
      <c r="AF13" s="938">
        <f t="shared" si="1"/>
        <v>18</v>
      </c>
      <c r="AG13" s="938">
        <f t="shared" si="1"/>
        <v>0</v>
      </c>
      <c r="AH13" s="938">
        <f t="shared" si="1"/>
        <v>1161</v>
      </c>
      <c r="AI13" s="938">
        <f t="shared" si="1"/>
        <v>0</v>
      </c>
      <c r="AJ13" s="938">
        <f t="shared" si="1"/>
        <v>0</v>
      </c>
      <c r="AK13" s="938">
        <f t="shared" si="1"/>
        <v>0</v>
      </c>
      <c r="AL13" s="938">
        <f t="shared" si="1"/>
        <v>85</v>
      </c>
      <c r="AM13" s="938">
        <f t="shared" si="1"/>
        <v>152</v>
      </c>
      <c r="AN13" s="938">
        <f t="shared" si="1"/>
        <v>0</v>
      </c>
      <c r="AO13" s="938">
        <f t="shared" si="1"/>
        <v>0</v>
      </c>
      <c r="AP13" s="943">
        <f>IF(ISNUMBER(((Datos!L13/Datos!K13)*11)/factor_trimestre),((Datos!L13/Datos!K13)*11)/factor_trimestre," - ")</f>
        <v>8.8155339805825239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-1.0769230769230769</v>
      </c>
      <c r="AU13" s="938" t="str">
        <f>IF(ISNUMBER((DatosP!#REF!-DatosP!#REF!+DatosP!#REF!)/(DatosP!#REF!+DatosP!#REF!-DatosP!#REF!-DatosP!#REF!)),(DatosP!#REF!-DatosP!#REF!+DatosP!#REF!)/(DatosP!#REF!+DatosP!#REF!-DatosP!#REF!-DatosP!#REF!)," - ")</f>
        <v xml:space="preserve"> - </v>
      </c>
      <c r="AV13" s="944">
        <f>SUBTOTAL(9,AV9:AV12)</f>
        <v>-3.2500000000000001E-2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1.9707317073170731</v>
      </c>
      <c r="AQ18" s="943">
        <f>IF(ISNUMBER(((Datos!M18/Datos!L18)*11)/factor_trimestre),((Datos!M18/Datos!L18)*11)/factor_trimestre," - ")</f>
        <v>0.51237623762376239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0.13432835820895522</v>
      </c>
      <c r="AW18" s="945">
        <f>IF(ISNUMBER((Datos!Q18-Datos!R18)/(Datos!S18-Datos!Q18+Datos!R18)),(Datos!Q18-Datos!R18)/(Datos!S18-Datos!Q18+Datos!R18)," - ")</f>
        <v>-0.12606837606837606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104</v>
      </c>
      <c r="AE19" s="956">
        <f t="shared" si="5"/>
        <v>0</v>
      </c>
      <c r="AF19" s="957">
        <f t="shared" si="5"/>
        <v>18</v>
      </c>
      <c r="AG19" s="957">
        <f t="shared" si="5"/>
        <v>0</v>
      </c>
      <c r="AH19" s="957">
        <f t="shared" si="5"/>
        <v>1161</v>
      </c>
      <c r="AI19" s="957">
        <f t="shared" si="5"/>
        <v>0</v>
      </c>
      <c r="AJ19" s="958">
        <f t="shared" si="5"/>
        <v>0</v>
      </c>
      <c r="AK19" s="958">
        <f t="shared" si="5"/>
        <v>0</v>
      </c>
      <c r="AL19" s="950">
        <f t="shared" si="5"/>
        <v>85</v>
      </c>
      <c r="AM19" s="950">
        <f t="shared" si="5"/>
        <v>152</v>
      </c>
      <c r="AN19" s="950">
        <f t="shared" si="5"/>
        <v>0</v>
      </c>
      <c r="AO19" s="950">
        <f t="shared" si="5"/>
        <v>0</v>
      </c>
      <c r="AP19" s="950">
        <f>IF(ISNUMBER(((Datos!L19/Datos!K19)*11)/factor_trimestre),((Datos!L19/Datos!K19)*11)/factor_trimestre," - ")</f>
        <v>4.2597402597402603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-1.0769230769230769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-2.4031007751937984E-2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40.05413004090007</v>
      </c>
      <c r="AM21" s="735"/>
      <c r="AN21" s="735">
        <f>IF(ISNUMBER(STDEV(AN8:AN18)),STDEV(AN8:AN18),"-")</f>
        <v>0</v>
      </c>
      <c r="AO21" s="741">
        <f>IF(ISNUMBER(STDEV(AO8:AO18)),STDEV(AO8:AO18),"-")</f>
        <v>0</v>
      </c>
      <c r="AP21" s="778">
        <f>IF(ISNUMBER(STDEV(AP8:AP18)),STDEV(AP8:AP18),"-")</f>
        <v>4.1092716651166894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KBZ2dRpPHSt+YufVxTiS1MLbrEoH4Q5gQ05dYWLv+2oBpzfrY/Zw2zpn4geevZ2YwbKKllNQkORThpiEHKBmw==" saltValue="WoCjw0JodGQyiPJ3XRf+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ALCAÑIZ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dMGQzTO/VqYcg/ARr4Ok8MrZH0RQwTOCBMJ+ZxLy6lsR4lgxfUpchwNU1MxvlfsHnoq1quFoWAFpu2ft0ByYg==" saltValue="CFwMiAV6nmuPs9hdG57J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ALCAÑIZ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18</v>
      </c>
      <c r="E10" s="403">
        <f>IF(ISNUMBER(D10/B10),D10/B10," - ")</f>
        <v>18</v>
      </c>
      <c r="F10" s="402">
        <f>IF(ISNUMBER(Datos!N10),Datos!N10," - ")</f>
        <v>8</v>
      </c>
      <c r="G10" s="403">
        <f>IF(ISNUMBER(F10/B10),F10/B10," - ")</f>
        <v>8</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67</v>
      </c>
      <c r="E12" s="403">
        <f t="shared" si="0"/>
        <v>33.5</v>
      </c>
      <c r="F12" s="402">
        <f>IF(ISNUMBER(Datos!N12),Datos!N12," - ")</f>
        <v>144</v>
      </c>
      <c r="G12" s="403">
        <f t="shared" si="1"/>
        <v>72</v>
      </c>
      <c r="H12" s="402">
        <f>IF(ISNUMBER(Datos!O12),Datos!O12," - ")</f>
        <v>103</v>
      </c>
      <c r="I12" s="403">
        <f t="shared" si="2"/>
        <v>51.5</v>
      </c>
      <c r="BZ12" s="1185">
        <f>Datos!EZ12</f>
        <v>0</v>
      </c>
    </row>
    <row r="13" spans="1:78" ht="14.25" thickTop="1" thickBot="1">
      <c r="A13" s="847" t="str">
        <f>Datos!A13</f>
        <v>TOTAL</v>
      </c>
      <c r="B13" s="848">
        <f>Datos!AP13</f>
        <v>2</v>
      </c>
      <c r="C13" s="850">
        <f>Datos!AR13</f>
        <v>2</v>
      </c>
      <c r="D13" s="848">
        <f>SUBTOTAL(9,D9:D12)</f>
        <v>85</v>
      </c>
      <c r="E13" s="849">
        <f t="shared" si="0"/>
        <v>42.5</v>
      </c>
      <c r="F13" s="848">
        <f>SUBTOTAL(9,F9:F12)</f>
        <v>152</v>
      </c>
      <c r="G13" s="849">
        <f t="shared" si="1"/>
        <v>76</v>
      </c>
      <c r="H13" s="848">
        <f>SUBTOTAL(9,H9:H12)</f>
        <v>105</v>
      </c>
      <c r="I13" s="849">
        <f>IF(ISNUMBER(H13/B13),H13/B13," - ")</f>
        <v>52.5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66</v>
      </c>
      <c r="E16" s="403">
        <f t="shared" si="3"/>
        <v>33</v>
      </c>
      <c r="F16" s="402">
        <f>IF(ISNUMBER(Datos!N16),Datos!N16," - ")</f>
        <v>384</v>
      </c>
      <c r="G16" s="403">
        <f t="shared" si="4"/>
        <v>192</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69</v>
      </c>
      <c r="E18" s="849">
        <f t="shared" si="3"/>
        <v>34.5</v>
      </c>
      <c r="F18" s="848">
        <f>SUBTOTAL(9,F15:F17)</f>
        <v>407</v>
      </c>
      <c r="G18" s="849">
        <f t="shared" si="4"/>
        <v>203.5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154</v>
      </c>
      <c r="E19" s="794">
        <f>IF(ISNUMBER(D19/B19),D19/B19," - ")</f>
        <v>77</v>
      </c>
      <c r="F19" s="793">
        <f>SUBTOTAL(9,F8:F18)</f>
        <v>559</v>
      </c>
      <c r="G19" s="794">
        <f>IF(ISNUMBER(F19/B19),F19/B19," - ")</f>
        <v>279.5</v>
      </c>
      <c r="H19" s="793">
        <f>SUBTOTAL(9,H8:H18)</f>
        <v>106</v>
      </c>
      <c r="I19" s="794">
        <f>IF(ISNUMBER(H19/B19),H19/B19," - ")</f>
        <v>53</v>
      </c>
    </row>
    <row r="22" spans="1:78">
      <c r="A22" s="390" t="str">
        <f>Criterios!A4</f>
        <v>Fecha Informe: 17 mar. 2026</v>
      </c>
    </row>
    <row r="27" spans="1:78">
      <c r="A27" s="413"/>
    </row>
  </sheetData>
  <sheetProtection algorithmName="SHA-512" hashValue="/JHAWuA5qG2NhBbSX61MmCvnwuSI6cjfgvoRMJUyfvoKE3DfzFs5Kg24SFKsCSpBo/D48lvtGYJu5ifIAbXDZA==" saltValue="UozoHBSv0hM09gzPdMAE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ALCAÑIZ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65</v>
      </c>
      <c r="C12" s="433">
        <f>IF(ISNUMBER(Datos!Q12),Datos!Q12," - ")</f>
        <v>104</v>
      </c>
      <c r="D12" s="407">
        <f>IF(ISNUMBER(Datos!R12),Datos!R12," - ")</f>
        <v>1161</v>
      </c>
    </row>
    <row r="13" spans="1:4" ht="14.25" thickTop="1" thickBot="1">
      <c r="A13" s="847" t="str">
        <f>Datos!A13</f>
        <v>TOTAL</v>
      </c>
      <c r="B13" s="848">
        <f>SUBTOTAL(9,B9:B12)</f>
        <v>65</v>
      </c>
      <c r="C13" s="852">
        <f>SUBTOTAL(9,C9:C12)</f>
        <v>105</v>
      </c>
      <c r="D13" s="850">
        <f>SUBTOTAL(9,D9:D12)</f>
        <v>1183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17</v>
      </c>
      <c r="D16" s="407">
        <f>IF(ISNUMBER(Datos!R16),Datos!R16," - ")</f>
        <v>75</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26</v>
      </c>
      <c r="C18" s="852">
        <f>SUBTOTAL(9,C15:C17)</f>
        <v>17</v>
      </c>
      <c r="D18" s="850">
        <f>SUBTOTAL(9,D15:D17)</f>
        <v>76</v>
      </c>
    </row>
    <row r="19" spans="1:4" ht="16.5" customHeight="1" thickTop="1" thickBot="1">
      <c r="A19" s="792" t="str">
        <f>Datos!A19</f>
        <v>TOTAL JURISDICCIONES</v>
      </c>
      <c r="B19" s="797">
        <f>SUBTOTAL(9,B8:B18)</f>
        <v>91</v>
      </c>
      <c r="C19" s="798">
        <f>SUBTOTAL(9,C8:C18)</f>
        <v>122</v>
      </c>
      <c r="D19" s="799">
        <f>SUBTOTAL(9,D8:D18)</f>
        <v>1259</v>
      </c>
    </row>
    <row r="20" spans="1:4" ht="7.5" customHeight="1"/>
    <row r="21" spans="1:4" ht="6" customHeight="1"/>
    <row r="22" spans="1:4">
      <c r="A22" s="390" t="str">
        <f>Criterios!A4</f>
        <v>Fecha Informe: 17 mar. 2026</v>
      </c>
    </row>
    <row r="27" spans="1:4">
      <c r="A27" s="413"/>
    </row>
  </sheetData>
  <sheetProtection algorithmName="SHA-512" hashValue="h+jX0rhKYLOsdMqOVXWzSFlA/t+MmOMc0yeUNuE694XIrBBZvJjEb6MzN5r5CWi3GjPE0dh2fJtyfAnJAI6qqA==" saltValue="SqVr3AP/4OurTg7Zhubu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ALCAÑIZ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1.8888888888888888</v>
      </c>
      <c r="C10" s="455">
        <f>IF(ISNUMBER((Datos!J10-Datos!T10)/Datos!T10),(Datos!J10-Datos!T10)/Datos!T10," - ")</f>
        <v>-0.51219512195121952</v>
      </c>
      <c r="D10" s="455">
        <f>IF(ISNUMBER((Datos!K10-Datos!U10)/Datos!U10),(Datos!K10-Datos!U10)/Datos!U10," - ")</f>
        <v>-0.22222222222222221</v>
      </c>
      <c r="E10" s="455">
        <f>IF(ISNUMBER((Datos!L10-Datos!V10)/Datos!V10),(Datos!L10-Datos!V10)/Datos!V10," - ")</f>
        <v>0.2857142857142857</v>
      </c>
      <c r="F10" s="455">
        <f>IF(ISNUMBER((Datos!M10-Datos!W10)/Datos!W10),(Datos!M10-Datos!W10)/Datos!W10," - ")</f>
        <v>0.2</v>
      </c>
      <c r="G10" s="456" t="str">
        <f>IF(ISNUMBER((Datos!N10-Datos!X10)/Datos!X10),(Datos!N10-Datos!X10)/Datos!X10," - ")</f>
        <v xml:space="preserve"> - </v>
      </c>
      <c r="H10" s="454">
        <f>IF(ISNUMBER(((NºAsuntos!G10/NºAsuntos!E10)-Datos!BD10)/Datos!BD10),((NºAsuntos!G10/NºAsuntos!E10)-Datos!BD10)/Datos!BD10," - ")</f>
        <v>0.59444444444444433</v>
      </c>
      <c r="I10" s="455">
        <f>IF(ISNUMBER(((NºAsuntos!I10/NºAsuntos!G10)-Datos!BE10)/Datos!BE10),((NºAsuntos!I10/NºAsuntos!G10)-Datos!BE10)/Datos!BE10," - ")</f>
        <v>0.65306122448979598</v>
      </c>
      <c r="J10" s="460">
        <f>IF(ISNUMBER((('Resol  Asuntos'!D10/NºAsuntos!G10)-Datos!BF10)/Datos!BF10),(('Resol  Asuntos'!D10/NºAsuntos!G10)-Datos!BF10)/Datos!BF10," - ")</f>
        <v>0.54285714285714293</v>
      </c>
      <c r="K10" s="461">
        <f>IF(ISNUMBER((((NºAsuntos!C10+NºAsuntos!E10)/NºAsuntos!G10)-Datos!BG10)/Datos!BG10),(((NºAsuntos!C10+NºAsuntos!E10)/NºAsuntos!G10)-Datos!BG10)/Datos!BG10," - ")</f>
        <v>0.18285714285714286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0.36585365853658536</v>
      </c>
      <c r="C12" s="455">
        <f>IF(ISNUMBER(
   IF(J_V="SI",(Datos!J12-Datos!T12)/Datos!T12,(Datos!J12+Datos!Z12-(Datos!T12+Datos!AH12))/(Datos!T12+Datos!AH12))
     ),IF(J_V="SI",(Datos!J12-Datos!T12)/Datos!T12,(Datos!J12+Datos!Z12-(Datos!T12+Datos!AH12))/(Datos!T12+Datos!AH12))," - ")</f>
        <v>-0.66305525460455039</v>
      </c>
      <c r="D12" s="455">
        <f>IF(ISNUMBER(
   IF(J_V="SI",(Datos!K12-Datos!U12)/Datos!U12,(Datos!K12+Datos!AA12-(Datos!U12+Datos!AI12))/(Datos!U12+Datos!AI12))
     ),IF(J_V="SI",(Datos!K12-Datos!U12)/Datos!U12,(Datos!K12+Datos!AA12-(Datos!U12+Datos!AI12))/(Datos!U12+Datos!AI12))," - ")</f>
        <v>-0.47350427350427349</v>
      </c>
      <c r="E12" s="455">
        <f>IF(ISNUMBER(
   IF(J_V="SI",(Datos!L12-Datos!V12)/Datos!V12,(Datos!L12+Datos!AB12-(Datos!V12+Datos!AJ12))/(Datos!V12+Datos!AJ12))
     ),IF(J_V="SI",(Datos!L12-Datos!V12)/Datos!V12,(Datos!L12+Datos!AB12-(Datos!V12+Datos!AJ12))/(Datos!V12+Datos!AJ12))," - ")</f>
        <v>-7.7294685990338161E-2</v>
      </c>
      <c r="F12" s="455">
        <f>IF(ISNUMBER((Datos!M12-Datos!W12)/Datos!W12),(Datos!M12-Datos!W12)/Datos!W12," - ")</f>
        <v>-0.23863636363636365</v>
      </c>
      <c r="G12" s="456">
        <f>IF(ISNUMBER((Datos!N12-Datos!X12)/Datos!X12),(Datos!N12-Datos!X12)/Datos!X12," - ")</f>
        <v>-0.25</v>
      </c>
      <c r="H12" s="454">
        <f>IF(ISNUMBER(((NºAsuntos!G12/NºAsuntos!E12)-Datos!BD12)/Datos!BD12),((NºAsuntos!G12/NºAsuntos!E12)-Datos!BD12)/Datos!BD12," - ")</f>
        <v>0.56255805644873158</v>
      </c>
      <c r="I12" s="455">
        <f>IF(ISNUMBER(((NºAsuntos!I12/NºAsuntos!G12)-Datos!BE12)/Datos!BE12),((NºAsuntos!I12/NºAsuntos!G12)-Datos!BE12)/Datos!BE12," - ")</f>
        <v>0.7525409373235461</v>
      </c>
      <c r="J12" s="460">
        <f>IF(ISNUMBER((('Resol  Asuntos'!D12/NºAsuntos!G12)-Datos!BF12)/Datos!BF12),(('Resol  Asuntos'!D12/NºAsuntos!G12)-Datos!BF12)/Datos!BF12," - ")</f>
        <v>-0.33720576298701305</v>
      </c>
      <c r="K12" s="461">
        <f>IF(ISNUMBER((((NºAsuntos!C12+NºAsuntos!E12)/NºAsuntos!G12)-Datos!BG12)/Datos!BG12),(((NºAsuntos!C12+NºAsuntos!E12)/NºAsuntos!G12)-Datos!BG12)/Datos!BG12," - ")</f>
        <v>0.48079004329004316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0.38526912181303113</v>
      </c>
      <c r="C13" s="854">
        <f>IF(ISNUMBER(
   IF(J_V="SI",(Datos!J13-Datos!T13)/Datos!T13,(Datos!J13+Datos!Z13-(Datos!T13+Datos!AH13))/(Datos!T13+Datos!AH13))
     ),IF(J_V="SI",(Datos!J13-Datos!T13)/Datos!T13,(Datos!J13+Datos!Z13-(Datos!T13+Datos!AH13))/(Datos!T13+Datos!AH13))," - ")</f>
        <v>-0.65663900414937759</v>
      </c>
      <c r="D13" s="854">
        <f>IF(ISNUMBER(
   IF(J_V="SI",(Datos!K13-Datos!U13)/Datos!U13,(Datos!K13+Datos!AA13-(Datos!U13+Datos!AI13))/(Datos!U13+Datos!AI13))
     ),IF(J_V="SI",(Datos!K13-Datos!U13)/Datos!U13,(Datos!K13+Datos!AA13-(Datos!U13+Datos!AI13))/(Datos!U13+Datos!AI13))," - ")</f>
        <v>-0.45893719806763283</v>
      </c>
      <c r="E13" s="854">
        <f>IF(ISNUMBER(
   IF(J_V="SI",(Datos!L13-Datos!V13)/Datos!V13,(Datos!L13+Datos!AB13-(Datos!V13+Datos!AJ13))/(Datos!V13+Datos!AJ13))
     ),IF(J_V="SI",(Datos!L13-Datos!V13)/Datos!V13,(Datos!L13+Datos!AB13-(Datos!V13+Datos!AJ13))/(Datos!V13+Datos!AJ13))," - ")</f>
        <v>-7.2449952335557677E-2</v>
      </c>
      <c r="F13" s="855">
        <f>IF(ISNUMBER((Datos!M13-Datos!W13)/Datos!W13),(Datos!M13-Datos!W13)/Datos!W13," - ")</f>
        <v>-0.17475728155339806</v>
      </c>
      <c r="G13" s="856">
        <f>IF(ISNUMBER((Datos!N13-Datos!X13)/Datos!X13),(Datos!N13-Datos!X13)/Datos!X13," - ")</f>
        <v>-0.20833333333333334</v>
      </c>
      <c r="H13" s="856">
        <f>IF(ISNUMBER(((NºAsuntos!G13/NºAsuntos!E13)-Datos!BD13)/Datos!BD13),((NºAsuntos!G13/NºAsuntos!E13)-Datos!BD13)/Datos!BD13," - ")</f>
        <v>0.57578411197221113</v>
      </c>
      <c r="I13" s="856">
        <f>IF(ISNUMBER(((NºAsuntos!I13/NºAsuntos!G13)-Datos!BE13)/Datos!BE13),((NºAsuntos!I13/NºAsuntos!G13)-Datos!BE13)/Datos!BE13," - ")</f>
        <v>0.71431124880838903</v>
      </c>
      <c r="J13" s="856">
        <f>IF(ISNUMBER((('Resol  Asuntos'!D13/NºAsuntos!G13)-Datos!BF13)/Datos!BF13),(('Resol  Asuntos'!D13/NºAsuntos!G13)-Datos!BF13)/Datos!BF13," - ")</f>
        <v>-0.24107142857142855</v>
      </c>
      <c r="K13" s="856">
        <f>IF(ISNUMBER((((NºAsuntos!C13+NºAsuntos!E13)/NºAsuntos!G13)-Datos!BG13)/Datos!BG13),(((NºAsuntos!C13+NºAsuntos!E13)/NºAsuntos!G13)-Datos!BG13)/Datos!BG13," - ")</f>
        <v>0.44869011976047912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-5.5696202531645568E-2</v>
      </c>
      <c r="C16" s="455">
        <f>IF(ISNUMBER(
   IF(D_I="SI",(Datos!J16-Datos!T16)/Datos!T16,(Datos!J16+Datos!AD16-(Datos!T16+Datos!AL16))/(Datos!T16+Datos!AL16))
     ),IF(D_I="SI",(Datos!J16-Datos!T16)/Datos!T16,(Datos!J16+Datos!AD16-(Datos!T16+Datos!AL16))/(Datos!T16+Datos!AL16))," - ")</f>
        <v>0.13926499032882012</v>
      </c>
      <c r="D16" s="455">
        <f>IF(ISNUMBER(
   IF(D_I="SI",(Datos!K16-Datos!U16)/Datos!U16,(Datos!K16+Datos!AE16-(Datos!U16+Datos!AM16))/(Datos!U16+Datos!AM16))
     ),IF(D_I="SI",(Datos!K16-Datos!U16)/Datos!U16,(Datos!K16+Datos!AE16-(Datos!U16+Datos!AM16))/(Datos!U16+Datos!AM16))," - ")</f>
        <v>7.5925925925925924E-2</v>
      </c>
      <c r="E16" s="455">
        <f>IF(ISNUMBER(
   IF(D_I="SI",(Datos!L16-Datos!V16)/Datos!V16,(Datos!L16+Datos!AF16-(Datos!V16+Datos!AN16))/(Datos!V16+Datos!AN16))
     ),IF(D_I="SI",(Datos!L16-Datos!V16)/Datos!V16,(Datos!L16+Datos!AF16-(Datos!V16+Datos!AN16))/(Datos!V16+Datos!AN16))," - ")</f>
        <v>-1.278772378516624E-2</v>
      </c>
      <c r="F16" s="455">
        <f>IF(ISNUMBER((Datos!M16-Datos!W16)/Datos!W16),(Datos!M16-Datos!W16)/Datos!W16," - ")</f>
        <v>-1.4925373134328358E-2</v>
      </c>
      <c r="G16" s="456">
        <f>IF(ISNUMBER((Datos!N16-Datos!X16)/Datos!X16),(Datos!N16-Datos!X16)/Datos!X16," - ")</f>
        <v>0.10982658959537572</v>
      </c>
      <c r="H16" s="454">
        <f>IF(ISNUMBER(((NºAsuntos!G16/NºAsuntos!E16)-Datos!BD16)/Datos!BD16),((NºAsuntos!G16/NºAsuntos!E16)-Datos!BD16)/Datos!BD16," - ")</f>
        <v>-5.5596428346852807E-2</v>
      </c>
      <c r="I16" s="455">
        <f>IF(ISNUMBER(((NºAsuntos!I16/NºAsuntos!G16)-Datos!BE16)/Datos!BE16),((NºAsuntos!I16/NºAsuntos!G16)-Datos!BE16)/Datos!BE16," - ")</f>
        <v>-8.2453306099810303E-2</v>
      </c>
      <c r="J16" s="460">
        <f>IF(ISNUMBER((('Resol  Asuntos'!D16/NºAsuntos!G16)-Datos!BF16)/Datos!BF16),(('Resol  Asuntos'!D16/NºAsuntos!G16)-Datos!BF16)/Datos!BF16," - ")</f>
        <v>-8.4440105839134721E-2</v>
      </c>
      <c r="K16" s="461">
        <f>IF(ISNUMBER((((NºAsuntos!C16+NºAsuntos!E16)/NºAsuntos!G16)-Datos!BG16)/Datos!BG16),(((NºAsuntos!C16+NºAsuntos!E16)/NºAsuntos!G16)-Datos!BG16)/Datos!BG16," - ")</f>
        <v>-1.9612283721351625E-2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0.7142857142857143</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-5.5555555555555552E-2</v>
      </c>
      <c r="E17" s="455">
        <f>IF(ISNUMBER(
   IF(D_I="SI",(Datos!L17-Datos!V17)/Datos!V17,(Datos!L17+Datos!AF17-(Datos!V17+Datos!AN17))/(Datos!V17+Datos!AN17))
     ),IF(D_I="SI",(Datos!L17-Datos!V17)/Datos!V17,(Datos!L17+Datos!AF17-(Datos!V17+Datos!AN17))/(Datos!V17+Datos!AN17))," - ")</f>
        <v>-0.35714285714285715</v>
      </c>
      <c r="F17" s="455">
        <f>IF(ISNUMBER((Datos!M17-Datos!W17)/Datos!W17),(Datos!M17-Datos!W17)/Datos!W17," - ")</f>
        <v>-0.76923076923076927</v>
      </c>
      <c r="G17" s="456">
        <f>IF(ISNUMBER((Datos!N17-Datos!X17)/Datos!X17),(Datos!N17-Datos!X17)/Datos!X17," - ")</f>
        <v>0.27777777777777779</v>
      </c>
      <c r="H17" s="454">
        <f>IF(ISNUMBER(((NºAsuntos!G17/NºAsuntos!E17)-Datos!BD17)/Datos!BD17),((NºAsuntos!G17/NºAsuntos!E17)-Datos!BD17)/Datos!BD17," - ")</f>
        <v>0.65277777777777757</v>
      </c>
      <c r="I17" s="455">
        <f>IF(ISNUMBER(((NºAsuntos!I17/NºAsuntos!G17)-Datos!BE17)/Datos!BE17),((NºAsuntos!I17/NºAsuntos!G17)-Datos!BE17)/Datos!BE17," - ")</f>
        <v>-0.31932773109243695</v>
      </c>
      <c r="J17" s="460">
        <f>IF(ISNUMBER((('Resol  Asuntos'!D17/NºAsuntos!G17)-Datos!BF17)/Datos!BF17),(('Resol  Asuntos'!D17/NºAsuntos!G17)-Datos!BF17)/Datos!BF17," - ")</f>
        <v>-0.75565610859728505</v>
      </c>
      <c r="K17" s="461">
        <f>IF(ISNUMBER((((NºAsuntos!C17+NºAsuntos!E17)/NºAsuntos!G17)-Datos!BG17)/Datos!BG17),(((NºAsuntos!C17+NºAsuntos!E17)/NºAsuntos!G17)-Datos!BG17)/Datos!BG17," - ")</f>
        <v>-0.12605042016806728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-2.9339853300733496E-2</v>
      </c>
      <c r="C18" s="854">
        <f>IF(ISNUMBER(
   IF(Criterios!B14="SI",(Datos!J18-Datos!T18)/Datos!T18,(Datos!J18+Datos!AD18-(Datos!T18+Datos!AL18))/(Datos!T18+Datos!AL18))
     ),IF(Criterios!B14="SI",(Datos!J18-Datos!T18)/Datos!T18,(Datos!J18+Datos!AD18-(Datos!T18+Datos!AL18))/(Datos!T18+Datos!AL18))," - ")</f>
        <v>9.0106007067137811E-2</v>
      </c>
      <c r="D18" s="854">
        <f>IF(ISNUMBER(
   IF(Criterios!B14="SI",(Datos!K18-Datos!U18)/Datos!U18,(Datos!K18+Datos!AE18-(Datos!U18+Datos!AM18))/(Datos!U18+Datos!AM18))
     ),IF(Criterios!B14="SI",(Datos!K18-Datos!U18)/Datos!U18,(Datos!K18+Datos!AE18-(Datos!U18+Datos!AM18))/(Datos!U18+Datos!AM18))," - ")</f>
        <v>6.7708333333333329E-2</v>
      </c>
      <c r="E18" s="854">
        <f>IF(ISNUMBER(
   IF(Criterios!B14="SI",(Datos!L18-Datos!V18)/Datos!V18,(Datos!L18+Datos!AF18-(Datos!V18+Datos!AN18))/(Datos!V18+Datos!AN18))
     ),IF(Criterios!B14="SI",(Datos!L18-Datos!V18)/Datos!V18,(Datos!L18+Datos!AF18-(Datos!V18+Datos!AN18))/(Datos!V18+Datos!AN18))," - ")</f>
        <v>-3.5799522673031027E-2</v>
      </c>
      <c r="F18" s="855">
        <f>IF(ISNUMBER((Datos!M18-Datos!W18)/Datos!W18),(Datos!M18-Datos!W18)/Datos!W18," - ")</f>
        <v>-0.13750000000000001</v>
      </c>
      <c r="G18" s="856">
        <f>IF(ISNUMBER((Datos!N18-Datos!X18)/Datos!X18),(Datos!N18-Datos!X18)/Datos!X18," - ")</f>
        <v>0.11813186813186813</v>
      </c>
      <c r="H18" s="856">
        <f>IF(ISNUMBER(((NºAsuntos!G18/NºAsuntos!E18)-Datos!BD18)/Datos!BD18),((NºAsuntos!G18/NºAsuntos!E18)-Datos!BD18)/Datos!BD18," - ")</f>
        <v>-2.054632631010259E-2</v>
      </c>
      <c r="I18" s="856">
        <f>IF(ISNUMBER(((NºAsuntos!I18/NºAsuntos!G18)-Datos!BE18)/Datos!BE18),((NºAsuntos!I18/NºAsuntos!G18)-Datos!BE18)/Datos!BE18," - ")</f>
        <v>-9.6943943186448667E-2</v>
      </c>
      <c r="J18" s="856">
        <f>IF(ISNUMBER((('Resol  Asuntos'!D18/NºAsuntos!G18)-Datos!BF18)/Datos!BF18),(('Resol  Asuntos'!D18/NºAsuntos!G18)-Datos!BF18)/Datos!BF18," - ")</f>
        <v>-0.19219512195121952</v>
      </c>
      <c r="K18" s="856">
        <f>IF(ISNUMBER((((NºAsuntos!C18+NºAsuntos!E18)/NºAsuntos!G18)-Datos!BG18)/Datos!BG18),(((NºAsuntos!C18+NºAsuntos!E18)/NºAsuntos!G18)-Datos!BG18)/Datos!BG18," - ")</f>
        <v>-2.5951219512195131E-2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0.23318385650224216</v>
      </c>
      <c r="C19" s="801">
        <f>IF(ISNUMBER(
   IF(J_V="SI",(Datos!J19-Datos!T19)/Datos!T19,(Datos!J19+Datos!Z19-(Datos!T19+Datos!AH19))/(Datos!T19+Datos!AH19))
     ),IF(J_V="SI",(Datos!J19-Datos!T19)/Datos!T19,(Datos!J19+Datos!Z19-(Datos!T19+Datos!AH19))/(Datos!T19+Datos!AH19))," - ")</f>
        <v>-0.38039215686274508</v>
      </c>
      <c r="D19" s="801">
        <f>IF(ISNUMBER(
   IF(J_V="SI",(Datos!K19-Datos!U19)/Datos!U19,(Datos!K19+Datos!AA19-(Datos!U19+Datos!AI19))/(Datos!U19+Datos!AI19))
     ),IF(J_V="SI",(Datos!K19-Datos!U19)/Datos!U19,(Datos!K19+Datos!AA19-(Datos!U19+Datos!AI19))/(Datos!U19+Datos!AI19))," - ")</f>
        <v>-0.20551378446115287</v>
      </c>
      <c r="E19" s="801">
        <f>IF(ISNUMBER(
   IF(J_V="SI",(Datos!L19-Datos!V19)/Datos!V19,(Datos!L19+Datos!AB19-(Datos!V19+Datos!AJ19))/(Datos!V19+Datos!AJ19))
     ),IF(J_V="SI",(Datos!L19-Datos!V19)/Datos!V19,(Datos!L19+Datos!AB19-(Datos!V19+Datos!AJ19))/(Datos!V19+Datos!AJ19))," - ")</f>
        <v>-6.1989100817438691E-2</v>
      </c>
      <c r="F19" s="802">
        <f>IF(ISNUMBER((Datos!M19-Datos!W19)/Datos!W19),(Datos!M19-Datos!W19)/Datos!W19," - ")</f>
        <v>-0.15846994535519127</v>
      </c>
      <c r="G19" s="803">
        <f>IF(ISNUMBER((Datos!N19-Datos!X19)/Datos!X19),(Datos!N19-Datos!X19)/Datos!X19," - ")</f>
        <v>5.3956834532374104E-3</v>
      </c>
      <c r="H19" s="804">
        <f>IF(ISNUMBER((Tasas!B19-Datos!BD19)/Datos!BD19),(Tasas!B19-Datos!BD19)/Datos!BD19," - ")</f>
        <v>0.28224041115446846</v>
      </c>
      <c r="I19" s="805">
        <f>IF(ISNUMBER((Tasas!C19-Datos!BE19)/Datos!BE19),(Tasas!C19-Datos!BE19)/Datos!BE19," - ")</f>
        <v>0.18065094250423347</v>
      </c>
      <c r="J19" s="806">
        <f>IF(ISNUMBER((Tasas!D19-Datos!BF19)/Datos!BF19),(Tasas!D19-Datos!BF19)/Datos!BF19," - ")</f>
        <v>-0.32461337231668846</v>
      </c>
      <c r="K19" s="806">
        <f>IF(ISNUMBER((Tasas!E19-Datos!BG19)/Datos!BG19),(Tasas!E19-Datos!BG19)/Datos!BG19," - ")</f>
        <v>0.10544506926347551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cAhdEcDvTVKEk+qP/WeOkwuaFd4SKWXSlzNb18pGAvTa8lzE0lJTh+jMzxg/vABApueM6Tx5Hi4RVqZmfvEdw==" saltValue="4dm+bpyw2dEuFtI9g9WM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ALCAÑIZ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0.6428571428571429</v>
      </c>
      <c r="D10" s="443">
        <f>IF(ISNUMBER('Resol  Asuntos'!D10/NºAsuntos!G10),'Resol  Asuntos'!D10/NºAsuntos!G10," - ")</f>
        <v>0.6428571428571429</v>
      </c>
      <c r="E10" s="444">
        <f>IF(ISNUMBER((NºAsuntos!C10+NºAsuntos!E10)/NºAsuntos!G10),(NºAsuntos!C10+NºAsuntos!E10)/NºAsuntos!G10," - ")</f>
        <v>1.6428571428571428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0.99035369774919613</v>
      </c>
      <c r="C12" s="442">
        <f>IF(ISNUMBER(NºAsuntos!I12/NºAsuntos!G12),NºAsuntos!I12/NºAsuntos!G12," - ")</f>
        <v>3.1006493506493507</v>
      </c>
      <c r="D12" s="443">
        <f>IF(ISNUMBER('Resol  Asuntos'!D12/NºAsuntos!G12),'Resol  Asuntos'!D12/NºAsuntos!G12," - ")</f>
        <v>0.21753246753246752</v>
      </c>
      <c r="E12" s="444">
        <f>IF(ISNUMBER((NºAsuntos!C12+NºAsuntos!E12)/NºAsuntos!G12),(NºAsuntos!C12+NºAsuntos!E12)/NºAsuntos!G12," - ")</f>
        <v>4.1006493506493502</v>
      </c>
      <c r="G12" s="462"/>
    </row>
    <row r="13" spans="1:7" ht="14.25" thickTop="1" thickBot="1">
      <c r="A13" s="847" t="str">
        <f>Datos!A13</f>
        <v>TOTAL</v>
      </c>
      <c r="B13" s="857">
        <f>IF(ISNUMBER(NºAsuntos!G13/NºAsuntos!E13),NºAsuntos!G13/NºAsuntos!E13," - ")</f>
        <v>1.0151057401812689</v>
      </c>
      <c r="C13" s="858">
        <f>IF(ISNUMBER(NºAsuntos!I13/NºAsuntos!G13),NºAsuntos!I13/NºAsuntos!G13," - ")</f>
        <v>2.8958333333333335</v>
      </c>
      <c r="D13" s="859">
        <f>IF(ISNUMBER('Resol  Asuntos'!D13/NºAsuntos!G13),'Resol  Asuntos'!D13/NºAsuntos!G13," - ")</f>
        <v>0.25297619047619047</v>
      </c>
      <c r="E13" s="860">
        <f>IF(ISNUMBER((NºAsuntos!C13+NºAsuntos!E13)/NºAsuntos!G13),(NºAsuntos!C13+NºAsuntos!E13)/NºAsuntos!G13," - ")</f>
        <v>3.8958333333333335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0.98641765704584039</v>
      </c>
      <c r="C16" s="442">
        <f>IF(ISNUMBER(NºAsuntos!I16/NºAsuntos!G16),NºAsuntos!I16/NºAsuntos!G16," - ")</f>
        <v>0.66437177280550774</v>
      </c>
      <c r="D16" s="443">
        <f>IF(ISNUMBER('Resol  Asuntos'!D16/NºAsuntos!G16),'Resol  Asuntos'!D16/NºAsuntos!G16," - ")</f>
        <v>0.11359724612736662</v>
      </c>
      <c r="E16" s="444">
        <f>IF(ISNUMBER((NºAsuntos!C16+NºAsuntos!E16)/NºAsuntos!G16),(NºAsuntos!C16+NºAsuntos!E16)/NºAsuntos!G16," - ")</f>
        <v>1.6557659208261617</v>
      </c>
      <c r="G16" s="462"/>
    </row>
    <row r="17" spans="1:7" ht="21.75" thickBot="1">
      <c r="A17" s="401" t="str">
        <f>Datos!A17</f>
        <v>Jdos. Violencia contra la mujer/Secc Viol. TI.</v>
      </c>
      <c r="B17" s="441">
        <f>IF(ISNUMBER(NºAsuntos!G17/NºAsuntos!E17),NºAsuntos!G17/NºAsuntos!E17," - ")</f>
        <v>1.2142857142857142</v>
      </c>
      <c r="C17" s="442">
        <f>IF(ISNUMBER(NºAsuntos!I17/NºAsuntos!G17),NºAsuntos!I17/NºAsuntos!G17," - ")</f>
        <v>0.52941176470588236</v>
      </c>
      <c r="D17" s="443">
        <f>IF(ISNUMBER('Resol  Asuntos'!D17/NºAsuntos!G17),'Resol  Asuntos'!D17/NºAsuntos!G17," - ")</f>
        <v>8.8235294117647065E-2</v>
      </c>
      <c r="E17" s="444">
        <f>IF(ISNUMBER((NºAsuntos!C17+NºAsuntos!E17)/NºAsuntos!G17),(NºAsuntos!C17+NºAsuntos!E17)/NºAsuntos!G17," - ")</f>
        <v>1.5294117647058822</v>
      </c>
      <c r="G17" s="462"/>
    </row>
    <row r="18" spans="1:7" ht="14.25" thickTop="1" thickBot="1">
      <c r="A18" s="847" t="str">
        <f>Datos!A18</f>
        <v>TOTAL</v>
      </c>
      <c r="B18" s="857">
        <f>IF(ISNUMBER(NºAsuntos!G18/NºAsuntos!E18),NºAsuntos!G18/NºAsuntos!E18," - ")</f>
        <v>0.99675850891410045</v>
      </c>
      <c r="C18" s="858">
        <f>IF(ISNUMBER(NºAsuntos!I18/NºAsuntos!G18),NºAsuntos!I18/NºAsuntos!G18," - ")</f>
        <v>0.65691056910569101</v>
      </c>
      <c r="D18" s="861">
        <f>IF(ISNUMBER('Resol  Asuntos'!D18/NºAsuntos!G18),'Resol  Asuntos'!D18/NºAsuntos!G18," - ")</f>
        <v>0.11219512195121951</v>
      </c>
      <c r="E18" s="860">
        <f>IF(ISNUMBER((NºAsuntos!C18+NºAsuntos!E18)/NºAsuntos!G18),(NºAsuntos!C18+NºAsuntos!E18)/NºAsuntos!G18," - ")</f>
        <v>1.648780487804878</v>
      </c>
      <c r="G18" s="462"/>
    </row>
    <row r="19" spans="1:7" ht="15.75" customHeight="1" thickTop="1" thickBot="1">
      <c r="A19" s="792" t="str">
        <f>Datos!A19</f>
        <v>TOTAL JURISDICCIONES</v>
      </c>
      <c r="B19" s="807">
        <f>IF(ISNUMBER(NºAsuntos!G19/NºAsuntos!E19),NºAsuntos!G19/NºAsuntos!E19," - ")</f>
        <v>1.0031645569620253</v>
      </c>
      <c r="C19" s="808">
        <f>IF(ISNUMBER(NºAsuntos!I19/NºAsuntos!G19),NºAsuntos!I19/NºAsuntos!G19," - ")</f>
        <v>1.4479495268138802</v>
      </c>
      <c r="D19" s="809">
        <f>IF(ISNUMBER('Resol  Asuntos'!D19/NºAsuntos!G19),'Resol  Asuntos'!D19/NºAsuntos!G19," - ")</f>
        <v>0.16193480546792849</v>
      </c>
      <c r="E19" s="810">
        <f>IF(ISNUMBER((NºAsuntos!C19+NºAsuntos!E19)/NºAsuntos!G19),(NºAsuntos!C19+NºAsuntos!E19)/NºAsuntos!G19," - ")</f>
        <v>2.4426919032597265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u8Rgpu1IncWiFFsIW71o1xiOpCRSI2CwVve+da8OR/rirVJvxWasN2ChRTp+uclVSUTjdgm3ANA/dJZr/gKCQ==" saltValue="UxBxx7/+qj4VfJkVlJC5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ALCAÑIZ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1</v>
      </c>
      <c r="Y10" s="333">
        <f t="shared" ref="Y10:Y12" si="0">SUM(W10:X10)</f>
        <v>29</v>
      </c>
      <c r="Z10" s="334" t="str">
        <f>IF(ISNUMBER(Datos!CC10),Datos!CC10," - ")</f>
        <v xml:space="preserve"> - </v>
      </c>
      <c r="AA10" s="331">
        <f>IF(ISNUMBER(Datos!L10),Datos!L10,"-")</f>
        <v>18</v>
      </c>
      <c r="AB10" s="333">
        <f>IF(ISNUMBER(Datos!R10),Datos!R10," - ")</f>
        <v>22</v>
      </c>
      <c r="AC10" s="333">
        <f t="shared" ref="AC10:AC12" si="1">IF(ISNUMBER(AA10+AB10),AA10+AB10," - ")</f>
        <v>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1.9285714285714288</v>
      </c>
      <c r="AN10" s="243">
        <f>IF(ISNUMBER('Resol  Asuntos'!D10/NºAsuntos!G10),'Resol  Asuntos'!D10/NºAsuntos!G10," - ")</f>
        <v>0.6428571428571429</v>
      </c>
      <c r="AO10" s="244">
        <f>IF(ISNUMBER((NºAsuntos!C10+NºAsuntos!E10)/NºAsuntos!G10),(NºAsuntos!C10+NºAsuntos!E10)/NºAsuntos!G10," - ")</f>
        <v>1.6428571428571428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v>
      </c>
      <c r="Y12" s="333">
        <f t="shared" si="0"/>
        <v>104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v>
      </c>
      <c r="AJ12" s="228" t="str">
        <f>IF(ISNUMBER(Datos!BW12),Datos!BW12," - ")</f>
        <v xml:space="preserve"> - </v>
      </c>
      <c r="AK12" s="227" t="str">
        <f>IF(ISNUMBER(Datos!BX12),Datos!BX12," - ")</f>
        <v xml:space="preserve"> - </v>
      </c>
      <c r="AL12" s="242">
        <f>IF(ISNUMBER(NºAsuntos!G12/NºAsuntos!E12),NºAsuntos!G12/NºAsuntos!E12," - ")</f>
        <v>0.99035369774919613</v>
      </c>
      <c r="AM12" s="259">
        <f>IF(ISNUMBER(((NºAsuntos!I12/NºAsuntos!G12)*11)/factor_trimestre),((NºAsuntos!I12/NºAsuntos!G12)*11)/factor_trimestre," - ")</f>
        <v>9.3019480519480506</v>
      </c>
      <c r="AN12" s="243">
        <f>IF(ISNUMBER('Resol  Asuntos'!D12/NºAsuntos!G12),'Resol  Asuntos'!D12/NºAsuntos!G12," - ")</f>
        <v>0.21753246753246752</v>
      </c>
      <c r="AO12" s="244">
        <f>IF(ISNUMBER((NºAsuntos!C12+NºAsuntos!E12)/NºAsuntos!G12),(NºAsuntos!C12+NºAsuntos!E12)/NºAsuntos!G12," - ")</f>
        <v>4.1006493506493502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105</v>
      </c>
      <c r="Y13" s="867">
        <f t="shared" si="4"/>
        <v>133</v>
      </c>
      <c r="Z13" s="867">
        <f t="shared" si="4"/>
        <v>0</v>
      </c>
      <c r="AA13" s="867">
        <f t="shared" si="4"/>
        <v>18</v>
      </c>
      <c r="AB13" s="867">
        <f t="shared" si="4"/>
        <v>1183</v>
      </c>
      <c r="AC13" s="867">
        <f t="shared" si="4"/>
        <v>40</v>
      </c>
      <c r="AD13" s="867">
        <f t="shared" si="4"/>
        <v>0</v>
      </c>
      <c r="AE13" s="871">
        <f t="shared" si="4"/>
        <v>0</v>
      </c>
      <c r="AF13" s="864">
        <f t="shared" si="4"/>
        <v>0</v>
      </c>
      <c r="AG13" s="872">
        <f t="shared" si="4"/>
        <v>0</v>
      </c>
      <c r="AH13" s="869">
        <f t="shared" si="4"/>
        <v>0</v>
      </c>
      <c r="AI13" s="864">
        <f t="shared" si="4"/>
        <v>85</v>
      </c>
      <c r="AJ13" s="866">
        <f t="shared" si="4"/>
        <v>0</v>
      </c>
      <c r="AK13" s="869">
        <f>SUBTOTAL(9,AK9:AK12)</f>
        <v>0</v>
      </c>
      <c r="AL13" s="873">
        <f>IF(ISNUMBER(NºAsuntos!G13/NºAsuntos!E13),NºAsuntos!G13/NºAsuntos!E13," - ")</f>
        <v>1.0151057401812689</v>
      </c>
      <c r="AM13" s="873">
        <f>IF(ISNUMBER(((NºAsuntos!I13/NºAsuntos!G13)*11)/factor_trimestre),((NºAsuntos!I13/NºAsuntos!G13)*11)/factor_trimestre," - ")</f>
        <v>8.6875</v>
      </c>
      <c r="AN13" s="874">
        <f>IF(ISNUMBER('Resol  Asuntos'!D13/NºAsuntos!G13),'Resol  Asuntos'!D13/NºAsuntos!G13," - ")</f>
        <v>0.25297619047619047</v>
      </c>
      <c r="AO13" s="875">
        <f>IF(ISNUMBER((NºAsuntos!C13+NºAsuntos!E13)/NºAsuntos!G13),(NºAsuntos!C13+NºAsuntos!E13)/NºAsuntos!G13," - ")</f>
        <v>3.8958333333333335</v>
      </c>
      <c r="AP13" s="876" t="str">
        <f t="shared" si="2"/>
        <v xml:space="preserve"> - </v>
      </c>
      <c r="AQ13" s="876">
        <f>IF(ISNUMBER((H13-W13+K13)/(F13)),(H13-W13+K13)/(F13)," - ")</f>
        <v>-1.0769230769230769</v>
      </c>
      <c r="AR13" s="877">
        <f>IF(ISNUMBER((Datos!P13-Datos!Q13)/(Datos!R13-Datos!P13+Datos!Q13)),(Datos!P13-Datos!Q13)/(Datos!R13-Datos!P13+Datos!Q13)," - ")</f>
        <v>-3.2706459525756335E-2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378</v>
      </c>
      <c r="G16" s="332">
        <f>IF(ISNUMBER(IF(D_I="SI",Datos!I16,Datos!I16+Datos!AC16)),IF(D_I="SI",Datos!I16,Datos!I16+Datos!AC16)," - ")</f>
        <v>373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581</v>
      </c>
      <c r="X16" s="225">
        <f>IF(ISNUMBER(Datos!Q16),Datos!Q16," - ")</f>
        <v>17</v>
      </c>
      <c r="Y16" s="333">
        <f t="shared" ref="Y16:Y17" si="7">SUM(W16:X16)</f>
        <v>598</v>
      </c>
      <c r="Z16" s="334" t="str">
        <f>IF(ISNUMBER(Datos!CC16),Datos!CC16," - ")</f>
        <v xml:space="preserve"> - </v>
      </c>
      <c r="AA16" s="331">
        <f>IF(ISNUMBER(IF(D_I="SI",Datos!L16,Datos!L16+Datos!AF16)),IF(D_I="SI",Datos!L16,Datos!L16+Datos!AF16)," - ")</f>
        <v>386</v>
      </c>
      <c r="AB16" s="333">
        <f>IF(ISNUMBER(Datos!R16),Datos!R16," - ")</f>
        <v>75</v>
      </c>
      <c r="AC16" s="333">
        <f t="shared" si="6"/>
        <v>461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66</v>
      </c>
      <c r="AJ16" s="230" t="str">
        <f>IF(ISNUMBER(Datos!BW16),Datos!BW16," - ")</f>
        <v xml:space="preserve"> - </v>
      </c>
      <c r="AK16" s="231" t="str">
        <f>IF(ISNUMBER(Datos!BX16),Datos!BX16," - ")</f>
        <v xml:space="preserve"> - </v>
      </c>
      <c r="AL16" s="242">
        <f>IF(ISNUMBER(NºAsuntos!G16/NºAsuntos!E16),NºAsuntos!G16/NºAsuntos!E16," - ")</f>
        <v>0.98641765704584039</v>
      </c>
      <c r="AM16" s="259">
        <f>IF(ISNUMBER(((NºAsuntos!I16/NºAsuntos!G16)*11)/factor_trimestre),((NºAsuntos!I16/NºAsuntos!G16)*11)/factor_trimestre," - ")</f>
        <v>1.9931153184165231</v>
      </c>
      <c r="AN16" s="243">
        <f>IF(ISNUMBER('Resol  Asuntos'!D16/NºAsuntos!G16),'Resol  Asuntos'!D16/NºAsuntos!G16," - ")</f>
        <v>0.11359724612736662</v>
      </c>
      <c r="AO16" s="244">
        <f>IF(ISNUMBER((NºAsuntos!C16+NºAsuntos!E16)/NºAsuntos!G16),(NºAsuntos!C16+NºAsuntos!E16)/NºAsuntos!G16," - ")</f>
        <v>1.6557659208261617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v>
      </c>
      <c r="X17" s="225">
        <f>IF(ISNUMBER(Datos!Q17),Datos!Q17," - ")</f>
        <v>0</v>
      </c>
      <c r="Y17" s="333">
        <f t="shared" si="7"/>
        <v>34</v>
      </c>
      <c r="Z17" s="334" t="str">
        <f>IF(ISNUMBER(Datos!CC17),Datos!CC17," - ")</f>
        <v xml:space="preserve"> - </v>
      </c>
      <c r="AA17" s="331">
        <f>IF(ISNUMBER(Datos!L17),Datos!L17,"-")</f>
        <v>18</v>
      </c>
      <c r="AB17" s="333">
        <f>IF(ISNUMBER(Datos!R17),Datos!R17," - ")</f>
        <v>1</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1.2142857142857142</v>
      </c>
      <c r="AM17" s="259">
        <f>IF(ISNUMBER(((NºAsuntos!I17/NºAsuntos!G17)*11)/factor_trimestre),((NºAsuntos!I17/NºAsuntos!G17)*11)/factor_trimestre," - ")</f>
        <v>1.588235294117647</v>
      </c>
      <c r="AN17" s="243">
        <f>IF(ISNUMBER('Resol  Asuntos'!D17/NºAsuntos!G17),'Resol  Asuntos'!D17/NºAsuntos!G17," - ")</f>
        <v>8.8235294117647065E-2</v>
      </c>
      <c r="AO17" s="244">
        <f>IF(ISNUMBER((NºAsuntos!C17+NºAsuntos!E17)/NºAsuntos!G17),(NºAsuntos!C17+NºAsuntos!E17)/NºAsuntos!G17," - ")</f>
        <v>1.5294117647058822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378</v>
      </c>
      <c r="G18" s="865">
        <f>SUBTOTAL(9,G15:G17)</f>
        <v>397</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615</v>
      </c>
      <c r="X18" s="866">
        <f t="shared" si="11"/>
        <v>17</v>
      </c>
      <c r="Y18" s="867">
        <f t="shared" si="11"/>
        <v>632</v>
      </c>
      <c r="Z18" s="867">
        <f t="shared" si="11"/>
        <v>0</v>
      </c>
      <c r="AA18" s="867">
        <f t="shared" si="11"/>
        <v>404</v>
      </c>
      <c r="AB18" s="867">
        <f t="shared" si="11"/>
        <v>76</v>
      </c>
      <c r="AC18" s="867">
        <f t="shared" si="11"/>
        <v>480</v>
      </c>
      <c r="AD18" s="867">
        <f t="shared" si="11"/>
        <v>0</v>
      </c>
      <c r="AE18" s="871">
        <f t="shared" si="11"/>
        <v>0</v>
      </c>
      <c r="AF18" s="864">
        <f t="shared" si="11"/>
        <v>0</v>
      </c>
      <c r="AG18" s="872">
        <f t="shared" si="11"/>
        <v>0</v>
      </c>
      <c r="AH18" s="869">
        <f t="shared" si="11"/>
        <v>0</v>
      </c>
      <c r="AI18" s="864">
        <f t="shared" si="11"/>
        <v>69</v>
      </c>
      <c r="AJ18" s="866">
        <f t="shared" si="11"/>
        <v>0</v>
      </c>
      <c r="AK18" s="869">
        <f t="shared" si="11"/>
        <v>0</v>
      </c>
      <c r="AL18" s="873">
        <f>IF(ISNUMBER(NºAsuntos!G18/NºAsuntos!E18),NºAsuntos!G18/NºAsuntos!E18," - ")</f>
        <v>0.99675850891410045</v>
      </c>
      <c r="AM18" s="873">
        <f>IF(ISNUMBER(((NºAsuntos!I18/NºAsuntos!G18)*11)/factor_trimestre),((NºAsuntos!I18/NºAsuntos!G18)*11)/factor_trimestre," - ")</f>
        <v>1.9707317073170731</v>
      </c>
      <c r="AN18" s="874">
        <f>IF(ISNUMBER('Resol  Asuntos'!D18/NºAsuntos!G18),'Resol  Asuntos'!D18/NºAsuntos!G18," - ")</f>
        <v>0.11219512195121951</v>
      </c>
      <c r="AO18" s="875">
        <f>IF(ISNUMBER((NºAsuntos!C18+NºAsuntos!E18)/NºAsuntos!G18),(NºAsuntos!C18+NºAsuntos!E18)/NºAsuntos!G18," - ")</f>
        <v>1.648780487804878</v>
      </c>
      <c r="AP18" s="876" t="str">
        <f t="shared" si="2"/>
        <v xml:space="preserve"> - </v>
      </c>
      <c r="AQ18" s="876">
        <f>IF(ISNUMBER((H18-W18+K18)/(F18)),(H18-W18+K18)/(F18)," - ")</f>
        <v>-1.626984126984127</v>
      </c>
      <c r="AR18" s="877">
        <f>IF(ISNUMBER((Datos!P18-Datos!Q18)/(Datos!R18-Datos!P18+Datos!Q18)),(Datos!P18-Datos!Q18)/(Datos!R18-Datos!P18+Datos!Q18)," - ")</f>
        <v>0.13432835820895522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404</v>
      </c>
      <c r="G19" s="820">
        <f t="shared" si="13"/>
        <v>423</v>
      </c>
      <c r="H19" s="819">
        <f t="shared" si="13"/>
        <v>0</v>
      </c>
      <c r="I19" s="821">
        <f t="shared" si="13"/>
        <v>0</v>
      </c>
      <c r="J19" s="821">
        <f t="shared" si="13"/>
        <v>0</v>
      </c>
      <c r="K19" s="880">
        <f t="shared" si="13"/>
        <v>0</v>
      </c>
      <c r="L19" s="821">
        <f t="shared" si="13"/>
        <v>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643</v>
      </c>
      <c r="X19" s="820">
        <f t="shared" si="14"/>
        <v>122</v>
      </c>
      <c r="Y19" s="827">
        <f t="shared" si="14"/>
        <v>765</v>
      </c>
      <c r="Z19" s="827">
        <f t="shared" si="14"/>
        <v>0</v>
      </c>
      <c r="AA19" s="827">
        <f t="shared" si="14"/>
        <v>422</v>
      </c>
      <c r="AB19" s="827">
        <f t="shared" si="14"/>
        <v>1259</v>
      </c>
      <c r="AC19" s="827">
        <f t="shared" si="14"/>
        <v>520</v>
      </c>
      <c r="AD19" s="827">
        <f t="shared" si="14"/>
        <v>0</v>
      </c>
      <c r="AE19" s="829">
        <f t="shared" si="14"/>
        <v>0</v>
      </c>
      <c r="AF19" s="830">
        <f t="shared" si="14"/>
        <v>0</v>
      </c>
      <c r="AG19" s="831">
        <f t="shared" si="14"/>
        <v>0</v>
      </c>
      <c r="AH19" s="829">
        <f t="shared" si="14"/>
        <v>0</v>
      </c>
      <c r="AI19" s="819">
        <f t="shared" si="14"/>
        <v>154</v>
      </c>
      <c r="AJ19" s="819">
        <f t="shared" si="14"/>
        <v>0</v>
      </c>
      <c r="AK19" s="829">
        <f t="shared" si="14"/>
        <v>0</v>
      </c>
      <c r="AL19" s="883">
        <f>IF(ISNUMBER(NºAsuntos!G19/NºAsuntos!E19),NºAsuntos!G19/NºAsuntos!E19," - ")</f>
        <v>1.0031645569620253</v>
      </c>
      <c r="AM19" s="884">
        <f>IF(ISNUMBER(((NºAsuntos!I19/NºAsuntos!G19)*11)/factor_trimestre),((NºAsuntos!I19/NºAsuntos!G19)*11)/factor_trimestre," - ")</f>
        <v>4.3438485804416409</v>
      </c>
      <c r="AN19" s="884">
        <f>IF(ISNUMBER('Resol  Asuntos'!D19/NºAsuntos!G19),'Resol  Asuntos'!D19/NºAsuntos!G19," - ")</f>
        <v>0.16193480546792849</v>
      </c>
      <c r="AO19" s="885">
        <f>IF(ISNUMBER((NºAsuntos!C19+NºAsuntos!E19)/NºAsuntos!G19),(NºAsuntos!C19+NºAsuntos!E19)/NºAsuntos!G19," - ")</f>
        <v>2.4426919032597265</v>
      </c>
      <c r="AP19" s="886" t="str">
        <f t="shared" si="2"/>
        <v xml:space="preserve"> - </v>
      </c>
      <c r="AQ19" s="887">
        <f>IF(OR(ISNUMBER(FIND("01",Criterios!A8,1)),ISNUMBER(FIND("02",Criterios!A8,1)),ISNUMBER(FIND("03",Criterios!A8,1)),ISNUMBER(FIND("04",Criterios!A8,1))),(I19-W19+K19)/(F19-K19),(H19-W19+K19)/(F19-K19))</f>
        <v>-1.5915841584158417</v>
      </c>
      <c r="AR19" s="888">
        <f>IF(ISNUMBER((Datos!P19-Datos!Q19)/(Datos!R19-Datos!P19+Datos!Q19)),(Datos!P19-Datos!Q19)/(Datos!R19-Datos!P19+Datos!Q19)," - ")</f>
        <v>-2.4031007751937984E-2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203.22729475474827</v>
      </c>
      <c r="G21" s="252">
        <f>IF(ISNUMBER(STDEV(G8:G18)),STDEV(G8:G18),"-")</f>
        <v>197.18189572067715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311.3481973610896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32.721043178154737</v>
      </c>
      <c r="AJ21" s="251">
        <f t="shared" si="18"/>
        <v>0</v>
      </c>
      <c r="AK21" s="253">
        <f t="shared" si="18"/>
        <v>0</v>
      </c>
      <c r="AL21" s="248">
        <f t="shared" si="18"/>
        <v>0.17079162930299327</v>
      </c>
      <c r="AM21" s="249">
        <f t="shared" si="18"/>
        <v>3.6871683108743465</v>
      </c>
      <c r="AN21" s="249">
        <f t="shared" si="18"/>
        <v>0.2089424947751985</v>
      </c>
      <c r="AO21" s="250">
        <f t="shared" si="18"/>
        <v>1.2311161150623908</v>
      </c>
      <c r="AP21" s="290" t="str">
        <f t="shared" si="18"/>
        <v>-</v>
      </c>
      <c r="AQ21" s="291">
        <f t="shared" si="18"/>
        <v>0.3889518985647607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2/Oikuh9jblx6a6RjWBDIu1/8R/jjRBEBWnGJA4KBtSG1rMrH6/tM3ssiBAstXUc7ayjJR+bAYbY869q2ZQuQ==" saltValue="oiozLp0yo9AxIbbEyw1c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ALCAÑIZ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1.8888888888888888</v>
      </c>
      <c r="E10" s="347">
        <f>IF(ISNUMBER((Datos!J10-Datos!T10)/Datos!T10),(Datos!J10-Datos!T10)/Datos!T10," - ")</f>
        <v>-0.51219512195121952</v>
      </c>
      <c r="F10" s="347">
        <f>IF(ISNUMBER((Datos!K10-Datos!U10)/Datos!U10),(Datos!K10-Datos!U10)/Datos!U10," - ")</f>
        <v>-0.22222222222222221</v>
      </c>
      <c r="G10" s="348">
        <f>IF(ISNUMBER((Datos!L10-Datos!V10)/Datos!V10),(Datos!L10-Datos!V10)/Datos!V10," - ")</f>
        <v>0.2857142857142857</v>
      </c>
      <c r="H10" s="229">
        <f>IF(ISNUMBER((Datos!M10-Datos!W10)/Datos!W10),(Datos!M10-Datos!W10)/Datos!W10," - ")</f>
        <v>0.2</v>
      </c>
      <c r="I10" s="349">
        <f>IF(ISNUMBER((Tasas!C10-Datos!BE10)/Datos!BE10),(Tasas!C10-Datos!BE10)/Datos!BE10," - ")</f>
        <v>0.65306122448979598</v>
      </c>
      <c r="J10" s="348">
        <f>IF(ISNUMBER((Tasas!D10-Datos!BF10)/Datos!BF10),(Tasas!D10-Datos!BF10)/Datos!BF10," - ")</f>
        <v>0.54285714285714293</v>
      </c>
      <c r="K10" s="350">
        <f>IF(ISNUMBER((Tasas!E10-Datos!BG10)/Datos!BG10),(Tasas!E10-Datos!BG10)/Datos!BG10," - ")</f>
        <v>0.18285714285714286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-0.23863636363636365</v>
      </c>
      <c r="I12" s="349">
        <f>IF(ISNUMBER((Tasas!C12-Datos!BE12)/Datos!BE12),(Tasas!C12-Datos!BE12)/Datos!BE12," - ")</f>
        <v>0.7525409373235461</v>
      </c>
      <c r="J12" s="348">
        <f>IF(ISNUMBER((Tasas!D12-Datos!BF12)/Datos!BF12),(Tasas!D12-Datos!BF12)/Datos!BF12," - ")</f>
        <v>-0.33720576298701305</v>
      </c>
      <c r="K12" s="350">
        <f>IF(ISNUMBER((Tasas!E12-Datos!BG12)/Datos!BG12),(Tasas!E12-Datos!BG12)/Datos!BG12," - ")</f>
        <v>0.48079004329004316</v>
      </c>
      <c r="M12" t="e">
        <f>IF(Monitorios="SI",Datos!CE12,0)</f>
        <v>#REF!</v>
      </c>
      <c r="N12" t="e">
        <f>IF(Monitorios="SI",Datos!CF12,0)</f>
        <v>#REF!</v>
      </c>
      <c r="O12" t="e">
        <f>IF(Monitorios="SI",Datos!CG12,0)</f>
        <v>#REF!</v>
      </c>
      <c r="P12" t="e">
        <f>IF(Monitorios="SI",Datos!CH12,0)</f>
        <v>#REF!</v>
      </c>
      <c r="Q12">
        <f>IF(J_V="SI",0,Datos!AG12)</f>
        <v>15</v>
      </c>
      <c r="R12">
        <f>IF(J_V="SI",0,Datos!AH12)</f>
        <v>24</v>
      </c>
      <c r="S12">
        <f>IF(J_V="SI",0,Datos!AI12)</f>
        <v>29</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-0.17475728155339806</v>
      </c>
      <c r="I13" s="356">
        <f>IF(ISNUMBER((Tasas!C13-Datos!BE13)/Datos!BE13),(Tasas!C13-Datos!BE13)/Datos!BE13," - ")</f>
        <v>0.71431124880838903</v>
      </c>
      <c r="J13" s="354">
        <f>IF(ISNUMBER((Tasas!D13-Datos!BF13)/Datos!BF13),(Tasas!D13-Datos!BF13)/Datos!BF13," - ")</f>
        <v>-0.24107142857142855</v>
      </c>
      <c r="K13" s="357">
        <f>IF(ISNUMBER((Tasas!E13-Datos!BG13)/Datos!BG13),(Tasas!E13-Datos!BG13)/Datos!BG13," - ")</f>
        <v>0.44869011976047912</v>
      </c>
      <c r="M13" t="e">
        <f>IF(Monitorios="SI",Datos!CE13,0)</f>
        <v>#REF!</v>
      </c>
      <c r="N13" t="e">
        <f>IF(Monitorios="SI",Datos!CF13,0)</f>
        <v>#REF!</v>
      </c>
      <c r="O13" t="e">
        <f>IF(Monitorios="SI",Datos!CG13,0)</f>
        <v>#REF!</v>
      </c>
      <c r="P13" t="e">
        <f>IF(Monitorios="SI",Datos!CH13,0)</f>
        <v>#REF!</v>
      </c>
      <c r="Q13">
        <f>IF(J_V="SI",0,Datos!AG13)</f>
        <v>15</v>
      </c>
      <c r="R13">
        <f>IF(J_V="SI",0,Datos!AH13)</f>
        <v>24</v>
      </c>
      <c r="S13">
        <f>IF(J_V="SI",0,Datos!AI13)</f>
        <v>29</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-5.5696202531645568E-2</v>
      </c>
      <c r="E16" s="347">
        <f>IF(ISNUMBER(
   IF(D_I="SI",(Datos!J16-Datos!T16)/Datos!T16,(Datos!J16+Datos!AD16-(Datos!T16+Datos!AL16))/(Datos!T16+Datos!AL16))
     ),IF(D_I="SI",(Datos!J16-Datos!T16)/Datos!T16,(Datos!J16+Datos!AD16-(Datos!T16+Datos!AL16))/(Datos!T16+Datos!AL16))," - ")</f>
        <v>0.13926499032882012</v>
      </c>
      <c r="F16" s="347">
        <f>IF(ISNUMBER(
   IF(D_I="SI",(Datos!K16-Datos!U16)/Datos!U16,(Datos!K16+Datos!AE16-(Datos!U16+Datos!AM16))/(Datos!U16+Datos!AM16))
     ),IF(D_I="SI",(Datos!K16-Datos!U16)/Datos!U16,(Datos!K16+Datos!AE16-(Datos!U16+Datos!AM16))/(Datos!U16+Datos!AM16))," - ")</f>
        <v>7.5925925925925924E-2</v>
      </c>
      <c r="G16" s="348">
        <f>IF(ISNUMBER(
   IF(D_I="SI",(Datos!L16-Datos!V16)/Datos!V16,(Datos!L16+Datos!AF16-(Datos!V16+Datos!AN16))/(Datos!V16+Datos!AN16))
     ),IF(D_I="SI",(Datos!L16-Datos!V16)/Datos!V16,(Datos!L16+Datos!AF16-(Datos!V16+Datos!AN16))/(Datos!V16+Datos!AN16))," - ")</f>
        <v>-1.278772378516624E-2</v>
      </c>
      <c r="H16" s="229">
        <f>IF(ISNUMBER((Datos!M16-Datos!W16)/Datos!W16),(Datos!M16-Datos!W16)/Datos!W16," - ")</f>
        <v>-1.4925373134328358E-2</v>
      </c>
      <c r="I16" s="349">
        <f>IF(ISNUMBER((Tasas!C16-Datos!BE16)/Datos!BE16),(Tasas!C16-Datos!BE16)/Datos!BE16," - ")</f>
        <v>-8.2453306099810303E-2</v>
      </c>
      <c r="J16" s="348">
        <f>IF(ISNUMBER((Tasas!D16-Datos!BF16)/Datos!BF16),(Tasas!D16-Datos!BF16)/Datos!BF16," - ")</f>
        <v>-8.4440105839134721E-2</v>
      </c>
      <c r="K16" s="350">
        <f>IF(ISNUMBER((Tasas!E16-Datos!BG16)/Datos!BG16),(Tasas!E16-Datos!BG16)/Datos!BG16," - ")</f>
        <v>-1.9612283721351625E-2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0.7142857142857143</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-5.5555555555555552E-2</v>
      </c>
      <c r="G17" s="348">
        <f>IF(ISNUMBER(
   IF(D_I="SI",(Datos!L17-Datos!V17)/Datos!V17,(Datos!L17+Datos!AF17-(Datos!V17+Datos!AN17))/(Datos!V17+Datos!AN17))
     ),IF(D_I="SI",(Datos!L17-Datos!V17)/Datos!V17,(Datos!L17+Datos!AF17-(Datos!V17+Datos!AN17))/(Datos!V17+Datos!AN17))," - ")</f>
        <v>-0.35714285714285715</v>
      </c>
      <c r="H17" s="229">
        <f>IF(ISNUMBER((Datos!M17-Datos!W17)/Datos!W17),(Datos!M17-Datos!W17)/Datos!W17," - ")</f>
        <v>-0.76923076923076927</v>
      </c>
      <c r="I17" s="349">
        <f>IF(ISNUMBER((Tasas!C17-Datos!BE17)/Datos!BE17),(Tasas!C17-Datos!BE17)/Datos!BE17," - ")</f>
        <v>-0.31932773109243695</v>
      </c>
      <c r="J17" s="348">
        <f>IF(ISNUMBER((Tasas!D17-Datos!BF17)/Datos!BF17),(Tasas!D17-Datos!BF17)/Datos!BF17," - ")</f>
        <v>-0.75565610859728505</v>
      </c>
      <c r="K17" s="350">
        <f>IF(ISNUMBER((Tasas!E17-Datos!BG17)/Datos!BG17),(Tasas!E17-Datos!BG17)/Datos!BG17," - ")</f>
        <v>-0.12605042016806728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-2.9339853300733496E-2</v>
      </c>
      <c r="E18" s="353">
        <f>IF(ISNUMBER(
   IF(D_I="SI",(Datos!J18-Datos!T18)/Datos!T18,(Datos!J18+Datos!AD18-(Datos!T18+Datos!AL18))/(Datos!T18+Datos!AL18))
     ),IF(D_I="SI",(Datos!J18-Datos!T18)/Datos!T18,(Datos!J18+Datos!AD18-(Datos!T18+Datos!AL18))/(Datos!T18+Datos!AL18))," - ")</f>
        <v>9.0106007067137811E-2</v>
      </c>
      <c r="F18" s="353">
        <f>IF(ISNUMBER(
   IF(D_I="SI",(Datos!K18-Datos!U18)/Datos!U18,(Datos!K18+Datos!AE18-(Datos!U18+Datos!AM18))/(Datos!U18+Datos!AM18))
     ),IF(D_I="SI",(Datos!K18-Datos!U18)/Datos!U18,(Datos!K18+Datos!AE18-(Datos!U18+Datos!AM18))/(Datos!U18+Datos!AM18))," - ")</f>
        <v>6.7708333333333329E-2</v>
      </c>
      <c r="G18" s="354">
        <f>IF(ISNUMBER(
   IF(D_I="SI",(Datos!L18-Datos!V18)/Datos!V18,(Datos!L18+Datos!AF18-(Datos!V18+Datos!AN18))/(Datos!V18+Datos!AN18))
     ),IF(D_I="SI",(Datos!L18-Datos!V18)/Datos!V18,(Datos!L18+Datos!AF18-(Datos!V18+Datos!AN18))/(Datos!V18+Datos!AN18))," - ")</f>
        <v>-3.5799522673031027E-2</v>
      </c>
      <c r="H18" s="355">
        <f>IF(ISNUMBER((Datos!M18-Datos!W18)/Datos!W18),(Datos!M18-Datos!W18)/Datos!W18," - ")</f>
        <v>-0.13750000000000001</v>
      </c>
      <c r="I18" s="356">
        <f>IF(ISNUMBER((Tasas!C18-Datos!BE18)/Datos!BE18),(Tasas!C18-Datos!BE18)/Datos!BE18," - ")</f>
        <v>-9.6943943186448667E-2</v>
      </c>
      <c r="J18" s="354">
        <f>IF(ISNUMBER((Tasas!D18-Datos!BF18)/Datos!BF18),(Tasas!D18-Datos!BF18)/Datos!BF18," - ")</f>
        <v>-0.19219512195121952</v>
      </c>
      <c r="K18" s="357">
        <f>IF(ISNUMBER((Tasas!E18-Datos!BG18)/Datos!BG18),(Tasas!E18-Datos!BG18)/Datos!BG18," - ")</f>
        <v>-2.5951219512195131E-2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0.23318385650224216</v>
      </c>
      <c r="E19" s="362">
        <f>IF(ISNUMBER(
   IF(J_V="SI",(Datos!J19-Datos!T19)/Datos!T19,(Datos!J19+Datos!Z19-(Datos!T19+Datos!AH19))/(Datos!T19+Datos!AH19))
     ),IF(J_V="SI",(Datos!J19-Datos!T19)/Datos!T19,(Datos!J19+Datos!Z19-(Datos!T19+Datos!AH19))/(Datos!T19+Datos!AH19))," - ")</f>
        <v>-0.38039215686274508</v>
      </c>
      <c r="F19" s="362">
        <f>IF(ISNUMBER(
   IF(J_V="SI",(Datos!K19-Datos!U19)/Datos!U19,(Datos!K19+Datos!AA19-(Datos!U19+Datos!AI19))/(Datos!U19+Datos!AI19))
     ),IF(J_V="SI",(Datos!K19-Datos!U19)/Datos!U19,(Datos!K19+Datos!AA19-(Datos!U19+Datos!AI19))/(Datos!U19+Datos!AI19))," - ")</f>
        <v>-0.20551378446115287</v>
      </c>
      <c r="G19" s="363">
        <f>IF(ISNUMBER(
   IF(J_V="SI",(Datos!L19-Datos!V19)/Datos!V19,(Datos!L19+Datos!AB19-(Datos!V19+Datos!AJ19))/(Datos!V19+Datos!AJ19))
     ),IF(J_V="SI",(Datos!L19-Datos!V19)/Datos!V19,(Datos!L19+Datos!AB19-(Datos!V19+Datos!AJ19))/(Datos!V19+Datos!AJ19))," - ")</f>
        <v>-6.1989100817438691E-2</v>
      </c>
      <c r="H19" s="364">
        <f>IF(ISNUMBER((Datos!M19-Datos!W19)/Datos!W19),(Datos!M19-Datos!W19)/Datos!W19," - ")</f>
        <v>-0.15846994535519127</v>
      </c>
      <c r="I19" s="361">
        <f>IF(ISNUMBER((Tasas!C19-Datos!BE19)/Datos!BE19),(Tasas!C19-Datos!BE19)/Datos!BE19," - ")</f>
        <v>0.18065094250423347</v>
      </c>
      <c r="J19" s="362">
        <f>IF(ISNUMBER((Tasas!D19-Datos!BF19)/Datos!BF19),(Tasas!D19-Datos!BF19)/Datos!BF19," - ")</f>
        <v>-0.32461337231668846</v>
      </c>
      <c r="K19" s="363">
        <f>IF(ISNUMBER((Tasas!E19-Datos!BG19)/Datos!BG19),(Tasas!E19-Datos!BG19)/Datos!BG19," - ")</f>
        <v>0.10544506926347551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0.91228883844719688</v>
      </c>
      <c r="E21" s="277">
        <f t="shared" si="1"/>
        <v>0.34010304033098643</v>
      </c>
      <c r="F21" s="277">
        <f t="shared" si="1"/>
        <v>0.13942701739957489</v>
      </c>
      <c r="G21" s="278">
        <f t="shared" si="1"/>
        <v>0.26269618449002569</v>
      </c>
      <c r="H21" s="284">
        <f t="shared" si="1"/>
        <v>0.32360760535830796</v>
      </c>
      <c r="I21" s="276">
        <f t="shared" si="1"/>
        <v>0.48645087591255043</v>
      </c>
      <c r="J21" s="277">
        <f t="shared" si="1"/>
        <v>0.42227977021821622</v>
      </c>
      <c r="K21" s="278">
        <f t="shared" si="1"/>
        <v>0.2589872684710986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l71kJoxf9qFJglHNjz5IcUczJ3lv3kHIvdXXOh36DNPlcVd6J2jf+bIwQ/i4w2+570GbOitYZhFSUn/l02hQQ==" saltValue="YsDKv3GN8JqpLOElmlBW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